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СВОД (2)" sheetId="7" r:id="rId1"/>
    <sheet name="Лист1" sheetId="4" r:id="rId2"/>
  </sheets>
  <definedNames>
    <definedName name="_xlnm.Print_Titles" localSheetId="0">'СВОД (2)'!$2:$4</definedName>
    <definedName name="_xlnm.Print_Area" localSheetId="0">'СВОД (2)'!$A$1:$L$419</definedName>
  </definedNames>
  <calcPr calcId="125725"/>
</workbook>
</file>

<file path=xl/calcChain.xml><?xml version="1.0" encoding="utf-8"?>
<calcChain xmlns="http://schemas.openxmlformats.org/spreadsheetml/2006/main">
  <c r="I6" i="7"/>
  <c r="I7"/>
  <c r="I8"/>
  <c r="I9"/>
  <c r="I12"/>
  <c r="I13"/>
  <c r="I14"/>
  <c r="I16"/>
  <c r="I17"/>
  <c r="I18"/>
  <c r="I20"/>
  <c r="I21"/>
  <c r="I22"/>
  <c r="I24"/>
  <c r="I25"/>
  <c r="I26"/>
  <c r="I28"/>
  <c r="I29"/>
  <c r="I30"/>
  <c r="I32"/>
  <c r="I33"/>
  <c r="I34"/>
  <c r="I36"/>
  <c r="I37"/>
  <c r="I38"/>
  <c r="I40"/>
  <c r="I41"/>
  <c r="I42"/>
  <c r="I44"/>
  <c r="I45"/>
  <c r="I46"/>
  <c r="I48"/>
  <c r="I49"/>
  <c r="I50"/>
  <c r="I52"/>
  <c r="I53"/>
  <c r="I54"/>
  <c r="I56"/>
  <c r="I57"/>
  <c r="I58"/>
  <c r="I60"/>
  <c r="I61"/>
  <c r="I62"/>
  <c r="I64"/>
  <c r="I65"/>
  <c r="I66"/>
  <c r="I68"/>
  <c r="I69"/>
  <c r="I70"/>
  <c r="I72"/>
  <c r="I73"/>
  <c r="I74"/>
  <c r="I76"/>
  <c r="I77"/>
  <c r="I78"/>
  <c r="I80"/>
  <c r="I81"/>
  <c r="I82"/>
  <c r="I84"/>
  <c r="I85"/>
  <c r="I86"/>
  <c r="I88"/>
  <c r="I89"/>
  <c r="I90"/>
  <c r="I92"/>
  <c r="I93"/>
  <c r="I94"/>
  <c r="I96"/>
  <c r="I97"/>
  <c r="I98"/>
  <c r="I100"/>
  <c r="I101"/>
  <c r="I102"/>
  <c r="I104"/>
  <c r="I105"/>
  <c r="I106"/>
  <c r="I108"/>
  <c r="I109"/>
  <c r="I110"/>
  <c r="I112"/>
  <c r="I113"/>
  <c r="I114"/>
  <c r="I116"/>
  <c r="I117"/>
  <c r="I118"/>
  <c r="I120"/>
  <c r="I121"/>
  <c r="I122"/>
  <c r="I124"/>
  <c r="I125"/>
  <c r="I126"/>
  <c r="I128"/>
  <c r="I129"/>
  <c r="I130"/>
  <c r="I132"/>
  <c r="I133"/>
  <c r="I134"/>
  <c r="I136"/>
  <c r="I137"/>
  <c r="I138"/>
  <c r="I140"/>
  <c r="I141"/>
  <c r="I142"/>
  <c r="I144"/>
  <c r="I145"/>
  <c r="I146"/>
  <c r="I148"/>
  <c r="I149"/>
  <c r="I150"/>
  <c r="I152"/>
  <c r="I153"/>
  <c r="I154"/>
  <c r="I156"/>
  <c r="I157"/>
  <c r="I158"/>
  <c r="I160"/>
  <c r="I161"/>
  <c r="I162"/>
  <c r="I164"/>
  <c r="I165"/>
  <c r="I166"/>
  <c r="I169"/>
  <c r="I174"/>
  <c r="I175"/>
  <c r="I176"/>
  <c r="I178"/>
  <c r="I179"/>
  <c r="I180"/>
  <c r="I182"/>
  <c r="I183"/>
  <c r="I184"/>
  <c r="I186"/>
  <c r="I187"/>
  <c r="I188"/>
  <c r="I190"/>
  <c r="I191"/>
  <c r="I192"/>
  <c r="I194"/>
  <c r="I195"/>
  <c r="I196"/>
  <c r="I198"/>
  <c r="I199"/>
  <c r="I200"/>
  <c r="I202"/>
  <c r="I203"/>
  <c r="I204"/>
  <c r="I206"/>
  <c r="I207"/>
  <c r="I208"/>
  <c r="I210"/>
  <c r="I211"/>
  <c r="I212"/>
  <c r="I214"/>
  <c r="I215"/>
  <c r="I216"/>
  <c r="I218"/>
  <c r="I219"/>
  <c r="I220"/>
  <c r="I222"/>
  <c r="I223"/>
  <c r="I224"/>
  <c r="I226"/>
  <c r="I227"/>
  <c r="I228"/>
  <c r="I230"/>
  <c r="I231"/>
  <c r="I232"/>
  <c r="I234"/>
  <c r="I235"/>
  <c r="I236"/>
  <c r="I238"/>
  <c r="I239"/>
  <c r="I240"/>
  <c r="I242"/>
  <c r="I243"/>
  <c r="I244"/>
  <c r="I246"/>
  <c r="I247"/>
  <c r="I248"/>
  <c r="I250"/>
  <c r="I251"/>
  <c r="I252"/>
  <c r="I254"/>
  <c r="I255"/>
  <c r="I256"/>
  <c r="I264"/>
  <c r="I265"/>
  <c r="I266"/>
  <c r="I268"/>
  <c r="I269"/>
  <c r="I270"/>
  <c r="I272"/>
  <c r="I273"/>
  <c r="I274"/>
  <c r="I276"/>
  <c r="I277"/>
  <c r="I278"/>
  <c r="I280"/>
  <c r="I281"/>
  <c r="I282"/>
  <c r="I297"/>
  <c r="I298"/>
  <c r="I299"/>
  <c r="I302"/>
  <c r="I303"/>
  <c r="I304"/>
  <c r="I307"/>
  <c r="I308"/>
  <c r="I309"/>
  <c r="I312"/>
  <c r="I313"/>
  <c r="I314"/>
  <c r="I321"/>
  <c r="I322"/>
  <c r="I323"/>
  <c r="I324"/>
  <c r="I326"/>
  <c r="I327"/>
  <c r="I328"/>
  <c r="I329"/>
  <c r="I331"/>
  <c r="I332"/>
  <c r="I333"/>
  <c r="I334"/>
  <c r="I336"/>
  <c r="I337"/>
  <c r="I338"/>
  <c r="I339"/>
  <c r="I341"/>
  <c r="I342"/>
  <c r="I343"/>
  <c r="I344"/>
  <c r="I352"/>
  <c r="I353"/>
  <c r="I354"/>
  <c r="I355"/>
  <c r="I358"/>
  <c r="I360"/>
  <c r="I361"/>
  <c r="I362"/>
  <c r="I364"/>
  <c r="I366"/>
  <c r="I367"/>
  <c r="I368"/>
  <c r="I370"/>
  <c r="I371"/>
  <c r="I372"/>
  <c r="I373"/>
  <c r="I376"/>
  <c r="I377"/>
  <c r="I378"/>
  <c r="I379"/>
  <c r="I381"/>
  <c r="I382"/>
  <c r="I383"/>
  <c r="I384"/>
  <c r="I386"/>
  <c r="I387"/>
  <c r="I388"/>
  <c r="I389"/>
  <c r="I391"/>
  <c r="I392"/>
  <c r="I393"/>
  <c r="I394"/>
  <c r="I396"/>
  <c r="I397"/>
  <c r="I398"/>
  <c r="I399"/>
  <c r="I401"/>
  <c r="I402"/>
  <c r="I403"/>
  <c r="I404"/>
  <c r="I406"/>
  <c r="I407"/>
  <c r="I411"/>
  <c r="I412"/>
  <c r="I413"/>
  <c r="I414"/>
  <c r="L342"/>
  <c r="L343"/>
  <c r="L344"/>
  <c r="K342"/>
  <c r="K343"/>
  <c r="K344"/>
  <c r="E337"/>
  <c r="K337" s="1"/>
  <c r="E338"/>
  <c r="E339"/>
  <c r="K339" s="1"/>
  <c r="L337"/>
  <c r="L338"/>
  <c r="L339"/>
  <c r="K338"/>
  <c r="L332"/>
  <c r="L333"/>
  <c r="L334"/>
  <c r="K332"/>
  <c r="K333"/>
  <c r="K334"/>
  <c r="L327"/>
  <c r="L328"/>
  <c r="L329"/>
  <c r="K329"/>
  <c r="E329"/>
  <c r="E327"/>
  <c r="K327" s="1"/>
  <c r="E328"/>
  <c r="K328" s="1"/>
  <c r="L322"/>
  <c r="L323"/>
  <c r="L324"/>
  <c r="K323"/>
  <c r="K324"/>
  <c r="E323"/>
  <c r="E324"/>
  <c r="E322"/>
  <c r="K322" s="1"/>
  <c r="L297"/>
  <c r="L298"/>
  <c r="L299"/>
  <c r="K298"/>
  <c r="K299"/>
  <c r="F296"/>
  <c r="H296"/>
  <c r="J296"/>
  <c r="H301"/>
  <c r="J301"/>
  <c r="H311"/>
  <c r="J311"/>
  <c r="H306"/>
  <c r="J306"/>
  <c r="F306"/>
  <c r="F301"/>
  <c r="E301"/>
  <c r="E297"/>
  <c r="E296" s="1"/>
  <c r="E298"/>
  <c r="L302"/>
  <c r="L303"/>
  <c r="L304"/>
  <c r="K302"/>
  <c r="K303"/>
  <c r="K304"/>
  <c r="L307"/>
  <c r="L308"/>
  <c r="L309"/>
  <c r="K308"/>
  <c r="K309"/>
  <c r="L312"/>
  <c r="L313"/>
  <c r="L314"/>
  <c r="K312"/>
  <c r="K314"/>
  <c r="E311"/>
  <c r="F311"/>
  <c r="E312"/>
  <c r="E313"/>
  <c r="E307"/>
  <c r="E306" s="1"/>
  <c r="E316"/>
  <c r="C412"/>
  <c r="D412"/>
  <c r="E412"/>
  <c r="F412"/>
  <c r="G412"/>
  <c r="H412"/>
  <c r="C413"/>
  <c r="D413"/>
  <c r="E413"/>
  <c r="F413"/>
  <c r="G413"/>
  <c r="C414"/>
  <c r="D414"/>
  <c r="E414"/>
  <c r="F414"/>
  <c r="G414"/>
  <c r="H414"/>
  <c r="B412"/>
  <c r="B413"/>
  <c r="B414"/>
  <c r="L407"/>
  <c r="K407"/>
  <c r="K406" s="1"/>
  <c r="L406"/>
  <c r="L402"/>
  <c r="L403"/>
  <c r="L404"/>
  <c r="K402"/>
  <c r="K403"/>
  <c r="K404"/>
  <c r="K398"/>
  <c r="K399"/>
  <c r="L392"/>
  <c r="L393"/>
  <c r="L394"/>
  <c r="K392"/>
  <c r="K393"/>
  <c r="K394"/>
  <c r="L387"/>
  <c r="L388"/>
  <c r="L389"/>
  <c r="K387"/>
  <c r="K388"/>
  <c r="K389"/>
  <c r="L382"/>
  <c r="L383"/>
  <c r="L384"/>
  <c r="K382"/>
  <c r="K383"/>
  <c r="K384"/>
  <c r="L378"/>
  <c r="L379"/>
  <c r="L377"/>
  <c r="K378"/>
  <c r="K379"/>
  <c r="K377"/>
  <c r="B376"/>
  <c r="J406"/>
  <c r="H406"/>
  <c r="F406"/>
  <c r="E406"/>
  <c r="D406"/>
  <c r="B406"/>
  <c r="J401"/>
  <c r="H401"/>
  <c r="F401"/>
  <c r="E401"/>
  <c r="D401"/>
  <c r="B401"/>
  <c r="J399"/>
  <c r="L399" s="1"/>
  <c r="J398"/>
  <c r="L398" s="1"/>
  <c r="H398"/>
  <c r="H396" s="1"/>
  <c r="F397"/>
  <c r="J397" s="1"/>
  <c r="J412" s="1"/>
  <c r="F396"/>
  <c r="E396"/>
  <c r="D396"/>
  <c r="B396"/>
  <c r="J391"/>
  <c r="H391"/>
  <c r="F391"/>
  <c r="E391"/>
  <c r="D391"/>
  <c r="B391"/>
  <c r="J386"/>
  <c r="H386"/>
  <c r="F386"/>
  <c r="E386"/>
  <c r="D386"/>
  <c r="B386"/>
  <c r="J381"/>
  <c r="H381"/>
  <c r="F381"/>
  <c r="E381"/>
  <c r="D381"/>
  <c r="B381"/>
  <c r="J376"/>
  <c r="H376"/>
  <c r="F376"/>
  <c r="E376"/>
  <c r="D376"/>
  <c r="C373"/>
  <c r="D373"/>
  <c r="E373"/>
  <c r="F373"/>
  <c r="G373"/>
  <c r="H373"/>
  <c r="J373"/>
  <c r="C372"/>
  <c r="D372"/>
  <c r="E372"/>
  <c r="F372"/>
  <c r="G372"/>
  <c r="H372"/>
  <c r="J372"/>
  <c r="C371"/>
  <c r="D371"/>
  <c r="E371"/>
  <c r="F371"/>
  <c r="G371"/>
  <c r="H371"/>
  <c r="J371"/>
  <c r="B372"/>
  <c r="B373"/>
  <c r="B371"/>
  <c r="L361"/>
  <c r="L362"/>
  <c r="L366"/>
  <c r="L367"/>
  <c r="L368"/>
  <c r="L360"/>
  <c r="K361"/>
  <c r="K362"/>
  <c r="K366"/>
  <c r="K367"/>
  <c r="K368"/>
  <c r="K360"/>
  <c r="K371" s="1"/>
  <c r="D358"/>
  <c r="E358"/>
  <c r="F358"/>
  <c r="H358"/>
  <c r="J358"/>
  <c r="B358"/>
  <c r="H364"/>
  <c r="F364"/>
  <c r="L364" s="1"/>
  <c r="D364"/>
  <c r="B364"/>
  <c r="L353"/>
  <c r="L354"/>
  <c r="L355"/>
  <c r="K353"/>
  <c r="K354"/>
  <c r="K355"/>
  <c r="D352"/>
  <c r="E352"/>
  <c r="F352"/>
  <c r="H352"/>
  <c r="J352"/>
  <c r="B352"/>
  <c r="L341"/>
  <c r="K341"/>
  <c r="L336"/>
  <c r="K336"/>
  <c r="L331"/>
  <c r="K331"/>
  <c r="L326"/>
  <c r="K326"/>
  <c r="L321"/>
  <c r="K321"/>
  <c r="J317"/>
  <c r="J318"/>
  <c r="J319"/>
  <c r="C319"/>
  <c r="D319"/>
  <c r="F319"/>
  <c r="G319"/>
  <c r="H319"/>
  <c r="C318"/>
  <c r="D318"/>
  <c r="F318"/>
  <c r="G318"/>
  <c r="H318"/>
  <c r="C317"/>
  <c r="D317"/>
  <c r="F317"/>
  <c r="G317"/>
  <c r="H317"/>
  <c r="B318"/>
  <c r="B319"/>
  <c r="B317"/>
  <c r="K258"/>
  <c r="K168"/>
  <c r="K6"/>
  <c r="F293"/>
  <c r="F294"/>
  <c r="F292"/>
  <c r="B292"/>
  <c r="J294"/>
  <c r="J293"/>
  <c r="J292"/>
  <c r="C294"/>
  <c r="D294"/>
  <c r="E294"/>
  <c r="G294"/>
  <c r="H294"/>
  <c r="C293"/>
  <c r="D293"/>
  <c r="G293"/>
  <c r="H293"/>
  <c r="C292"/>
  <c r="D292"/>
  <c r="G292"/>
  <c r="H292"/>
  <c r="B293"/>
  <c r="B294"/>
  <c r="L164"/>
  <c r="L165"/>
  <c r="L166"/>
  <c r="L226"/>
  <c r="L227"/>
  <c r="L228"/>
  <c r="L230"/>
  <c r="L231"/>
  <c r="L232"/>
  <c r="L234"/>
  <c r="L235"/>
  <c r="L236"/>
  <c r="L238"/>
  <c r="L240"/>
  <c r="L242"/>
  <c r="L243"/>
  <c r="L244"/>
  <c r="L246"/>
  <c r="L247"/>
  <c r="L248"/>
  <c r="L250"/>
  <c r="L251"/>
  <c r="L252"/>
  <c r="L254"/>
  <c r="L255"/>
  <c r="L256"/>
  <c r="L268"/>
  <c r="L269"/>
  <c r="L270"/>
  <c r="L272"/>
  <c r="L273"/>
  <c r="L274"/>
  <c r="L280"/>
  <c r="L282"/>
  <c r="J281"/>
  <c r="J279" s="1"/>
  <c r="H279"/>
  <c r="I279" s="1"/>
  <c r="F279"/>
  <c r="E279"/>
  <c r="D279"/>
  <c r="B279"/>
  <c r="J278"/>
  <c r="L278" s="1"/>
  <c r="J277"/>
  <c r="L277" s="1"/>
  <c r="J276"/>
  <c r="H275"/>
  <c r="I275" s="1"/>
  <c r="F275"/>
  <c r="E275"/>
  <c r="D275"/>
  <c r="B275"/>
  <c r="J271"/>
  <c r="H271"/>
  <c r="I271" s="1"/>
  <c r="F271"/>
  <c r="E271"/>
  <c r="D271"/>
  <c r="D263"/>
  <c r="D267"/>
  <c r="B271"/>
  <c r="J267"/>
  <c r="H267"/>
  <c r="I267" s="1"/>
  <c r="F267"/>
  <c r="E267"/>
  <c r="B267"/>
  <c r="J266"/>
  <c r="J265"/>
  <c r="J264"/>
  <c r="L264" s="1"/>
  <c r="H263"/>
  <c r="I263" s="1"/>
  <c r="F263"/>
  <c r="E263"/>
  <c r="B263"/>
  <c r="H261"/>
  <c r="H171"/>
  <c r="I171" s="1"/>
  <c r="H9"/>
  <c r="G261"/>
  <c r="F261"/>
  <c r="E261"/>
  <c r="I261" s="1"/>
  <c r="D261"/>
  <c r="C261"/>
  <c r="B261"/>
  <c r="H260"/>
  <c r="I260" s="1"/>
  <c r="H170"/>
  <c r="H8"/>
  <c r="G260"/>
  <c r="F260"/>
  <c r="E260"/>
  <c r="D260"/>
  <c r="C260"/>
  <c r="B260"/>
  <c r="H259"/>
  <c r="H169"/>
  <c r="H7"/>
  <c r="G259"/>
  <c r="F259"/>
  <c r="E259"/>
  <c r="I259" s="1"/>
  <c r="D259"/>
  <c r="C259"/>
  <c r="B259"/>
  <c r="J253"/>
  <c r="H253"/>
  <c r="I253" s="1"/>
  <c r="F253"/>
  <c r="E253"/>
  <c r="D253"/>
  <c r="B253"/>
  <c r="J249"/>
  <c r="H249"/>
  <c r="I249" s="1"/>
  <c r="F249"/>
  <c r="E249"/>
  <c r="D249"/>
  <c r="B249"/>
  <c r="J245"/>
  <c r="H245"/>
  <c r="I245" s="1"/>
  <c r="F245"/>
  <c r="E245"/>
  <c r="D245"/>
  <c r="B245"/>
  <c r="J241"/>
  <c r="H241"/>
  <c r="I241" s="1"/>
  <c r="F241"/>
  <c r="E241"/>
  <c r="D241"/>
  <c r="B241"/>
  <c r="J239"/>
  <c r="J237" s="1"/>
  <c r="H237"/>
  <c r="I237" s="1"/>
  <c r="F237"/>
  <c r="E237"/>
  <c r="D237"/>
  <c r="B237"/>
  <c r="D235"/>
  <c r="D170" s="1"/>
  <c r="C235"/>
  <c r="C170" s="1"/>
  <c r="D234"/>
  <c r="D169" s="1"/>
  <c r="C234"/>
  <c r="C169" s="1"/>
  <c r="J233"/>
  <c r="H233"/>
  <c r="I233" s="1"/>
  <c r="F233"/>
  <c r="E233"/>
  <c r="B233"/>
  <c r="J229"/>
  <c r="H229"/>
  <c r="I229" s="1"/>
  <c r="F229"/>
  <c r="E229"/>
  <c r="D229"/>
  <c r="B229"/>
  <c r="J225"/>
  <c r="H225"/>
  <c r="I225" s="1"/>
  <c r="F225"/>
  <c r="E225"/>
  <c r="D225"/>
  <c r="B225"/>
  <c r="J224"/>
  <c r="L224" s="1"/>
  <c r="D224"/>
  <c r="D221" s="1"/>
  <c r="C224"/>
  <c r="E223"/>
  <c r="J223" s="1"/>
  <c r="L223" s="1"/>
  <c r="J222"/>
  <c r="H221"/>
  <c r="F221"/>
  <c r="B221"/>
  <c r="J220"/>
  <c r="L220" s="1"/>
  <c r="J219"/>
  <c r="L219" s="1"/>
  <c r="J218"/>
  <c r="L218" s="1"/>
  <c r="H217"/>
  <c r="I217" s="1"/>
  <c r="F217"/>
  <c r="E217"/>
  <c r="D217"/>
  <c r="B217"/>
  <c r="J216"/>
  <c r="L216" s="1"/>
  <c r="B216"/>
  <c r="B171" s="1"/>
  <c r="J215"/>
  <c r="L215" s="1"/>
  <c r="B215"/>
  <c r="B170" s="1"/>
  <c r="J214"/>
  <c r="L214" s="1"/>
  <c r="B214"/>
  <c r="B169" s="1"/>
  <c r="H213"/>
  <c r="I213" s="1"/>
  <c r="F213"/>
  <c r="E213"/>
  <c r="D213"/>
  <c r="J212"/>
  <c r="L212" s="1"/>
  <c r="J211"/>
  <c r="L211" s="1"/>
  <c r="J210"/>
  <c r="L210" s="1"/>
  <c r="E209"/>
  <c r="H209"/>
  <c r="I209" s="1"/>
  <c r="F209"/>
  <c r="D209"/>
  <c r="B209"/>
  <c r="J208"/>
  <c r="L208" s="1"/>
  <c r="J207"/>
  <c r="L207" s="1"/>
  <c r="J206"/>
  <c r="H205"/>
  <c r="I205" s="1"/>
  <c r="F205"/>
  <c r="E205"/>
  <c r="D205"/>
  <c r="B205"/>
  <c r="J204"/>
  <c r="L204" s="1"/>
  <c r="J203"/>
  <c r="L203" s="1"/>
  <c r="J202"/>
  <c r="L202" s="1"/>
  <c r="E201"/>
  <c r="H201"/>
  <c r="I201" s="1"/>
  <c r="F201"/>
  <c r="D201"/>
  <c r="B201"/>
  <c r="J200"/>
  <c r="L200" s="1"/>
  <c r="J199"/>
  <c r="L199" s="1"/>
  <c r="G199"/>
  <c r="G170" s="1"/>
  <c r="J198"/>
  <c r="L198" s="1"/>
  <c r="E197"/>
  <c r="H197"/>
  <c r="I197" s="1"/>
  <c r="F197"/>
  <c r="D197"/>
  <c r="B197"/>
  <c r="J196"/>
  <c r="L196" s="1"/>
  <c r="J195"/>
  <c r="L195" s="1"/>
  <c r="J194"/>
  <c r="H193"/>
  <c r="I193" s="1"/>
  <c r="F193"/>
  <c r="E193"/>
  <c r="D193"/>
  <c r="B193"/>
  <c r="J192"/>
  <c r="L192" s="1"/>
  <c r="J191"/>
  <c r="L191" s="1"/>
  <c r="J190"/>
  <c r="E189"/>
  <c r="H189"/>
  <c r="I189" s="1"/>
  <c r="F189"/>
  <c r="D189"/>
  <c r="B189"/>
  <c r="J188"/>
  <c r="L188" s="1"/>
  <c r="J187"/>
  <c r="L187" s="1"/>
  <c r="J186"/>
  <c r="L186" s="1"/>
  <c r="H185"/>
  <c r="I185" s="1"/>
  <c r="F185"/>
  <c r="E185"/>
  <c r="D185"/>
  <c r="B185"/>
  <c r="J184"/>
  <c r="L184" s="1"/>
  <c r="J183"/>
  <c r="L183" s="1"/>
  <c r="J182"/>
  <c r="L182" s="1"/>
  <c r="E181"/>
  <c r="H181"/>
  <c r="I181" s="1"/>
  <c r="F181"/>
  <c r="D181"/>
  <c r="B181"/>
  <c r="J180"/>
  <c r="L180" s="1"/>
  <c r="J179"/>
  <c r="L179" s="1"/>
  <c r="J178"/>
  <c r="H177"/>
  <c r="I177" s="1"/>
  <c r="H173"/>
  <c r="I173" s="1"/>
  <c r="F177"/>
  <c r="E177"/>
  <c r="D177"/>
  <c r="B177"/>
  <c r="J176"/>
  <c r="J175"/>
  <c r="J174"/>
  <c r="E173"/>
  <c r="F173"/>
  <c r="D173"/>
  <c r="B173"/>
  <c r="G171"/>
  <c r="F171"/>
  <c r="E171"/>
  <c r="C171"/>
  <c r="F170"/>
  <c r="G169"/>
  <c r="G7"/>
  <c r="F169"/>
  <c r="E169"/>
  <c r="E7"/>
  <c r="C164"/>
  <c r="C7" s="1"/>
  <c r="C165"/>
  <c r="C8" s="1"/>
  <c r="D164"/>
  <c r="D7" s="1"/>
  <c r="J163"/>
  <c r="H163"/>
  <c r="I163" s="1"/>
  <c r="F163"/>
  <c r="E163"/>
  <c r="B163"/>
  <c r="J162"/>
  <c r="F162"/>
  <c r="J161"/>
  <c r="F161"/>
  <c r="J160"/>
  <c r="F160"/>
  <c r="H159"/>
  <c r="I159" s="1"/>
  <c r="E159"/>
  <c r="D159"/>
  <c r="C159"/>
  <c r="B159"/>
  <c r="J158"/>
  <c r="F158"/>
  <c r="J157"/>
  <c r="F157"/>
  <c r="F156"/>
  <c r="J156"/>
  <c r="H155"/>
  <c r="I155" s="1"/>
  <c r="E155"/>
  <c r="J155" s="1"/>
  <c r="D155"/>
  <c r="C155"/>
  <c r="B155"/>
  <c r="J154"/>
  <c r="F154"/>
  <c r="J153"/>
  <c r="F153"/>
  <c r="J152"/>
  <c r="F152"/>
  <c r="E151"/>
  <c r="J151" s="1"/>
  <c r="H151"/>
  <c r="I151" s="1"/>
  <c r="D151"/>
  <c r="C151"/>
  <c r="B151"/>
  <c r="J150"/>
  <c r="F150"/>
  <c r="J149"/>
  <c r="F149"/>
  <c r="J148"/>
  <c r="F148"/>
  <c r="E147"/>
  <c r="J147" s="1"/>
  <c r="H147"/>
  <c r="I147" s="1"/>
  <c r="D147"/>
  <c r="C147"/>
  <c r="B147"/>
  <c r="J146"/>
  <c r="F146"/>
  <c r="J145"/>
  <c r="F145"/>
  <c r="J144"/>
  <c r="F144"/>
  <c r="E143"/>
  <c r="J143" s="1"/>
  <c r="H143"/>
  <c r="I143" s="1"/>
  <c r="D143"/>
  <c r="C143"/>
  <c r="B143"/>
  <c r="J142"/>
  <c r="F142"/>
  <c r="J141"/>
  <c r="F141"/>
  <c r="J140"/>
  <c r="F140"/>
  <c r="H139"/>
  <c r="I139" s="1"/>
  <c r="E139"/>
  <c r="D139"/>
  <c r="C139"/>
  <c r="B139"/>
  <c r="J138"/>
  <c r="F138"/>
  <c r="J137"/>
  <c r="F137"/>
  <c r="J136"/>
  <c r="F136"/>
  <c r="E135"/>
  <c r="J135" s="1"/>
  <c r="H135"/>
  <c r="I135" s="1"/>
  <c r="D135"/>
  <c r="C135"/>
  <c r="B135"/>
  <c r="J134"/>
  <c r="F134"/>
  <c r="J133"/>
  <c r="F133"/>
  <c r="J132"/>
  <c r="F132"/>
  <c r="E131"/>
  <c r="J131" s="1"/>
  <c r="H131"/>
  <c r="I131" s="1"/>
  <c r="D131"/>
  <c r="C131"/>
  <c r="B131"/>
  <c r="J130"/>
  <c r="F130"/>
  <c r="J129"/>
  <c r="F129"/>
  <c r="J128"/>
  <c r="F128"/>
  <c r="E127"/>
  <c r="J127" s="1"/>
  <c r="H127"/>
  <c r="I127" s="1"/>
  <c r="D127"/>
  <c r="C127"/>
  <c r="B127"/>
  <c r="J126"/>
  <c r="F126"/>
  <c r="J125"/>
  <c r="F125"/>
  <c r="J124"/>
  <c r="F124"/>
  <c r="E123"/>
  <c r="J123" s="1"/>
  <c r="H123"/>
  <c r="I123" s="1"/>
  <c r="D123"/>
  <c r="C123"/>
  <c r="B123"/>
  <c r="J122"/>
  <c r="F122"/>
  <c r="J121"/>
  <c r="F121"/>
  <c r="J120"/>
  <c r="F120"/>
  <c r="E119"/>
  <c r="J119" s="1"/>
  <c r="H119"/>
  <c r="I119" s="1"/>
  <c r="D119"/>
  <c r="C119"/>
  <c r="B119"/>
  <c r="J118"/>
  <c r="F118"/>
  <c r="J117"/>
  <c r="F117"/>
  <c r="J116"/>
  <c r="F116"/>
  <c r="E115"/>
  <c r="J115" s="1"/>
  <c r="H115"/>
  <c r="I115" s="1"/>
  <c r="D115"/>
  <c r="C115"/>
  <c r="B115"/>
  <c r="J114"/>
  <c r="F114"/>
  <c r="J113"/>
  <c r="F113"/>
  <c r="J112"/>
  <c r="F112"/>
  <c r="E111"/>
  <c r="J111" s="1"/>
  <c r="H111"/>
  <c r="I111" s="1"/>
  <c r="D111"/>
  <c r="C111"/>
  <c r="B111"/>
  <c r="J110"/>
  <c r="F110"/>
  <c r="J109"/>
  <c r="F109"/>
  <c r="J108"/>
  <c r="F108"/>
  <c r="E107"/>
  <c r="J107" s="1"/>
  <c r="H107"/>
  <c r="I107" s="1"/>
  <c r="D107"/>
  <c r="C107"/>
  <c r="B107"/>
  <c r="J106"/>
  <c r="F106"/>
  <c r="J105"/>
  <c r="F105"/>
  <c r="J104"/>
  <c r="F104"/>
  <c r="E103"/>
  <c r="J103" s="1"/>
  <c r="H103"/>
  <c r="I103" s="1"/>
  <c r="D103"/>
  <c r="C103"/>
  <c r="B103"/>
  <c r="J102"/>
  <c r="F102"/>
  <c r="J101"/>
  <c r="F101"/>
  <c r="J100"/>
  <c r="F100"/>
  <c r="E99"/>
  <c r="J99" s="1"/>
  <c r="H99"/>
  <c r="I99" s="1"/>
  <c r="D99"/>
  <c r="C99"/>
  <c r="B99"/>
  <c r="J98"/>
  <c r="F98"/>
  <c r="J97"/>
  <c r="F97"/>
  <c r="J96"/>
  <c r="F96"/>
  <c r="E95"/>
  <c r="J95" s="1"/>
  <c r="H95"/>
  <c r="I95" s="1"/>
  <c r="D95"/>
  <c r="C95"/>
  <c r="B95"/>
  <c r="J94"/>
  <c r="F94"/>
  <c r="J93"/>
  <c r="F93"/>
  <c r="J92"/>
  <c r="F92"/>
  <c r="E91"/>
  <c r="J91" s="1"/>
  <c r="H91"/>
  <c r="I91" s="1"/>
  <c r="D91"/>
  <c r="C91"/>
  <c r="B91"/>
  <c r="J90"/>
  <c r="F90"/>
  <c r="F88"/>
  <c r="F89"/>
  <c r="J89"/>
  <c r="G89"/>
  <c r="G8" s="1"/>
  <c r="J88"/>
  <c r="H87"/>
  <c r="I87" s="1"/>
  <c r="E87"/>
  <c r="D87"/>
  <c r="C87"/>
  <c r="B87"/>
  <c r="J86"/>
  <c r="F86"/>
  <c r="J85"/>
  <c r="F85"/>
  <c r="F84"/>
  <c r="J84"/>
  <c r="H83"/>
  <c r="I83" s="1"/>
  <c r="E83"/>
  <c r="J83" s="1"/>
  <c r="D83"/>
  <c r="C83"/>
  <c r="B83"/>
  <c r="J82"/>
  <c r="F82"/>
  <c r="J81"/>
  <c r="F81"/>
  <c r="J80"/>
  <c r="J12"/>
  <c r="L12" s="1"/>
  <c r="J16"/>
  <c r="L16" s="1"/>
  <c r="J20"/>
  <c r="L20" s="1"/>
  <c r="J24"/>
  <c r="L24" s="1"/>
  <c r="J28"/>
  <c r="L28" s="1"/>
  <c r="J32"/>
  <c r="L32" s="1"/>
  <c r="J36"/>
  <c r="L36" s="1"/>
  <c r="J40"/>
  <c r="L40" s="1"/>
  <c r="J44"/>
  <c r="J48"/>
  <c r="L48" s="1"/>
  <c r="J52"/>
  <c r="L52" s="1"/>
  <c r="J56"/>
  <c r="J60"/>
  <c r="J64"/>
  <c r="J68"/>
  <c r="J72"/>
  <c r="J76"/>
  <c r="F80"/>
  <c r="H79"/>
  <c r="I79" s="1"/>
  <c r="E79"/>
  <c r="D79"/>
  <c r="C79"/>
  <c r="B79"/>
  <c r="J78"/>
  <c r="F78"/>
  <c r="B78"/>
  <c r="B9" s="1"/>
  <c r="J77"/>
  <c r="F77"/>
  <c r="B77"/>
  <c r="B8" s="1"/>
  <c r="F76"/>
  <c r="B76"/>
  <c r="B7" s="1"/>
  <c r="E75"/>
  <c r="J75" s="1"/>
  <c r="H75"/>
  <c r="I75" s="1"/>
  <c r="D75"/>
  <c r="C75"/>
  <c r="J74"/>
  <c r="F74"/>
  <c r="J73"/>
  <c r="F73"/>
  <c r="F72"/>
  <c r="E71"/>
  <c r="J71" s="1"/>
  <c r="H71"/>
  <c r="I71" s="1"/>
  <c r="D71"/>
  <c r="C71"/>
  <c r="B71"/>
  <c r="J70"/>
  <c r="F70"/>
  <c r="J69"/>
  <c r="F69"/>
  <c r="F68"/>
  <c r="E67"/>
  <c r="J67" s="1"/>
  <c r="H67"/>
  <c r="I67" s="1"/>
  <c r="D67"/>
  <c r="C67"/>
  <c r="B67"/>
  <c r="J66"/>
  <c r="F66"/>
  <c r="J65"/>
  <c r="F65"/>
  <c r="F64"/>
  <c r="E63"/>
  <c r="H63"/>
  <c r="I63" s="1"/>
  <c r="D63"/>
  <c r="C63"/>
  <c r="B63"/>
  <c r="J62"/>
  <c r="F62"/>
  <c r="J61"/>
  <c r="F61"/>
  <c r="F60"/>
  <c r="E59"/>
  <c r="J59" s="1"/>
  <c r="H59"/>
  <c r="I59" s="1"/>
  <c r="D59"/>
  <c r="C59"/>
  <c r="B59"/>
  <c r="J58"/>
  <c r="F58"/>
  <c r="J57"/>
  <c r="F57"/>
  <c r="F56"/>
  <c r="L56" s="1"/>
  <c r="E55"/>
  <c r="J55" s="1"/>
  <c r="H55"/>
  <c r="I55" s="1"/>
  <c r="D55"/>
  <c r="C55"/>
  <c r="B55"/>
  <c r="J54"/>
  <c r="L54" s="1"/>
  <c r="J53"/>
  <c r="L53" s="1"/>
  <c r="H51"/>
  <c r="I51" s="1"/>
  <c r="F51"/>
  <c r="E51"/>
  <c r="J51" s="1"/>
  <c r="D51"/>
  <c r="C51"/>
  <c r="B51"/>
  <c r="J50"/>
  <c r="L50" s="1"/>
  <c r="J14"/>
  <c r="J18"/>
  <c r="L18" s="1"/>
  <c r="J22"/>
  <c r="L22" s="1"/>
  <c r="J26"/>
  <c r="L26" s="1"/>
  <c r="J30"/>
  <c r="L30" s="1"/>
  <c r="J34"/>
  <c r="L34" s="1"/>
  <c r="J38"/>
  <c r="L38" s="1"/>
  <c r="J42"/>
  <c r="L42" s="1"/>
  <c r="J46"/>
  <c r="L46" s="1"/>
  <c r="D50"/>
  <c r="D9" s="1"/>
  <c r="J49"/>
  <c r="L49" s="1"/>
  <c r="H47"/>
  <c r="I47" s="1"/>
  <c r="F47"/>
  <c r="E47"/>
  <c r="J47" s="1"/>
  <c r="C47"/>
  <c r="B47"/>
  <c r="J45"/>
  <c r="L45" s="1"/>
  <c r="D45"/>
  <c r="D8" s="1"/>
  <c r="H43"/>
  <c r="I43" s="1"/>
  <c r="F43"/>
  <c r="E43"/>
  <c r="C43"/>
  <c r="B43"/>
  <c r="J41"/>
  <c r="L41" s="1"/>
  <c r="E39"/>
  <c r="J39" s="1"/>
  <c r="H39"/>
  <c r="I39" s="1"/>
  <c r="F39"/>
  <c r="D39"/>
  <c r="C39"/>
  <c r="B39"/>
  <c r="J37"/>
  <c r="L37" s="1"/>
  <c r="H35"/>
  <c r="I35" s="1"/>
  <c r="F35"/>
  <c r="E35"/>
  <c r="J35" s="1"/>
  <c r="D35"/>
  <c r="C35"/>
  <c r="B35"/>
  <c r="J33"/>
  <c r="L33" s="1"/>
  <c r="E31"/>
  <c r="J31" s="1"/>
  <c r="H31"/>
  <c r="I31" s="1"/>
  <c r="F31"/>
  <c r="D31"/>
  <c r="C31"/>
  <c r="B31"/>
  <c r="J29"/>
  <c r="L29" s="1"/>
  <c r="H27"/>
  <c r="I27" s="1"/>
  <c r="F27"/>
  <c r="E27"/>
  <c r="J27" s="1"/>
  <c r="D27"/>
  <c r="C27"/>
  <c r="B27"/>
  <c r="J25"/>
  <c r="L25" s="1"/>
  <c r="E23"/>
  <c r="J23" s="1"/>
  <c r="H23"/>
  <c r="I23" s="1"/>
  <c r="F23"/>
  <c r="D23"/>
  <c r="C23"/>
  <c r="B23"/>
  <c r="J21"/>
  <c r="L21" s="1"/>
  <c r="H19"/>
  <c r="I19" s="1"/>
  <c r="F19"/>
  <c r="E19"/>
  <c r="J19" s="1"/>
  <c r="D19"/>
  <c r="C19"/>
  <c r="B19"/>
  <c r="J17"/>
  <c r="L17" s="1"/>
  <c r="H15"/>
  <c r="I15" s="1"/>
  <c r="F15"/>
  <c r="E15"/>
  <c r="D15"/>
  <c r="C15"/>
  <c r="B15"/>
  <c r="B11"/>
  <c r="J13"/>
  <c r="L13" s="1"/>
  <c r="H11"/>
  <c r="F11"/>
  <c r="E11"/>
  <c r="J11" s="1"/>
  <c r="D11"/>
  <c r="C11"/>
  <c r="G9"/>
  <c r="E9"/>
  <c r="C9"/>
  <c r="E8"/>
  <c r="I311" l="1"/>
  <c r="I301"/>
  <c r="I296"/>
  <c r="I294"/>
  <c r="I306"/>
  <c r="I11"/>
  <c r="L292"/>
  <c r="L293"/>
  <c r="E291"/>
  <c r="E346" s="1"/>
  <c r="K306"/>
  <c r="K317"/>
  <c r="K294"/>
  <c r="E293"/>
  <c r="I293" s="1"/>
  <c r="K307"/>
  <c r="L301"/>
  <c r="K297"/>
  <c r="H413"/>
  <c r="H411" s="1"/>
  <c r="E317"/>
  <c r="I317" s="1"/>
  <c r="J347"/>
  <c r="K313"/>
  <c r="K293" s="1"/>
  <c r="K301"/>
  <c r="F291"/>
  <c r="L294"/>
  <c r="E318"/>
  <c r="L319"/>
  <c r="K319"/>
  <c r="L318"/>
  <c r="K318"/>
  <c r="L317"/>
  <c r="E319"/>
  <c r="L296"/>
  <c r="L306"/>
  <c r="K311"/>
  <c r="L311"/>
  <c r="E292"/>
  <c r="D349"/>
  <c r="J348"/>
  <c r="K397"/>
  <c r="K412" s="1"/>
  <c r="B370"/>
  <c r="K364"/>
  <c r="J370"/>
  <c r="K373"/>
  <c r="K391"/>
  <c r="L397"/>
  <c r="L412" s="1"/>
  <c r="B411"/>
  <c r="K414"/>
  <c r="L414"/>
  <c r="J413"/>
  <c r="K386"/>
  <c r="L391"/>
  <c r="K413"/>
  <c r="L413"/>
  <c r="J414"/>
  <c r="F411"/>
  <c r="K376"/>
  <c r="L381"/>
  <c r="D411"/>
  <c r="E411"/>
  <c r="F370"/>
  <c r="K401"/>
  <c r="L401"/>
  <c r="K381"/>
  <c r="L386"/>
  <c r="L376"/>
  <c r="K352"/>
  <c r="L352"/>
  <c r="K358"/>
  <c r="H370"/>
  <c r="D370"/>
  <c r="E370"/>
  <c r="K372"/>
  <c r="L372"/>
  <c r="L373"/>
  <c r="J396"/>
  <c r="L358"/>
  <c r="L371"/>
  <c r="K171"/>
  <c r="K259"/>
  <c r="G348"/>
  <c r="F349"/>
  <c r="K285"/>
  <c r="K169"/>
  <c r="K261"/>
  <c r="H347"/>
  <c r="C347"/>
  <c r="D348"/>
  <c r="F347"/>
  <c r="C348"/>
  <c r="D347"/>
  <c r="J291"/>
  <c r="L316"/>
  <c r="K316"/>
  <c r="H348"/>
  <c r="K260"/>
  <c r="B348"/>
  <c r="G349"/>
  <c r="H349"/>
  <c r="C349"/>
  <c r="B347"/>
  <c r="F348"/>
  <c r="G347"/>
  <c r="J349"/>
  <c r="B291"/>
  <c r="H291"/>
  <c r="B349"/>
  <c r="J316"/>
  <c r="F316"/>
  <c r="D316"/>
  <c r="H316"/>
  <c r="I316" s="1"/>
  <c r="B316"/>
  <c r="L68"/>
  <c r="L73"/>
  <c r="L156"/>
  <c r="D291"/>
  <c r="E170"/>
  <c r="I170" s="1"/>
  <c r="L114"/>
  <c r="D43"/>
  <c r="L142"/>
  <c r="E221"/>
  <c r="E168" s="1"/>
  <c r="L60"/>
  <c r="L122"/>
  <c r="L133"/>
  <c r="L137"/>
  <c r="L144"/>
  <c r="L146"/>
  <c r="L153"/>
  <c r="L160"/>
  <c r="L162"/>
  <c r="L62"/>
  <c r="L77"/>
  <c r="L98"/>
  <c r="L105"/>
  <c r="L121"/>
  <c r="L132"/>
  <c r="L148"/>
  <c r="F155"/>
  <c r="D286"/>
  <c r="L136"/>
  <c r="J261"/>
  <c r="L72"/>
  <c r="L39"/>
  <c r="L93"/>
  <c r="L100"/>
  <c r="L102"/>
  <c r="L109"/>
  <c r="L158"/>
  <c r="J221"/>
  <c r="E258"/>
  <c r="J263"/>
  <c r="D258"/>
  <c r="J275"/>
  <c r="L266"/>
  <c r="L261" s="1"/>
  <c r="L51"/>
  <c r="L130"/>
  <c r="L152"/>
  <c r="D163"/>
  <c r="F59"/>
  <c r="F9"/>
  <c r="K9" s="1"/>
  <c r="F103"/>
  <c r="F111"/>
  <c r="F119"/>
  <c r="L126"/>
  <c r="F127"/>
  <c r="J139"/>
  <c r="L157"/>
  <c r="E286"/>
  <c r="G288"/>
  <c r="L245"/>
  <c r="C287"/>
  <c r="L271"/>
  <c r="L241"/>
  <c r="L229"/>
  <c r="L209"/>
  <c r="L225"/>
  <c r="J205"/>
  <c r="L222"/>
  <c r="L221" s="1"/>
  <c r="L27"/>
  <c r="L82"/>
  <c r="L84"/>
  <c r="L86"/>
  <c r="L90"/>
  <c r="L106"/>
  <c r="L150"/>
  <c r="J170"/>
  <c r="J169"/>
  <c r="J189"/>
  <c r="J193"/>
  <c r="L80"/>
  <c r="J87"/>
  <c r="L92"/>
  <c r="L101"/>
  <c r="L108"/>
  <c r="L128"/>
  <c r="L138"/>
  <c r="L145"/>
  <c r="L154"/>
  <c r="L161"/>
  <c r="J173"/>
  <c r="L267"/>
  <c r="L253"/>
  <c r="L206"/>
  <c r="L205" s="1"/>
  <c r="J209"/>
  <c r="L213"/>
  <c r="L281"/>
  <c r="L279" s="1"/>
  <c r="L276"/>
  <c r="L275" s="1"/>
  <c r="D47"/>
  <c r="L58"/>
  <c r="L70"/>
  <c r="B75"/>
  <c r="B6" s="1"/>
  <c r="L78"/>
  <c r="J43"/>
  <c r="L117"/>
  <c r="L124"/>
  <c r="L181"/>
  <c r="L197"/>
  <c r="J63"/>
  <c r="J79"/>
  <c r="F87"/>
  <c r="L94"/>
  <c r="L110"/>
  <c r="L134"/>
  <c r="F55"/>
  <c r="L61"/>
  <c r="L64"/>
  <c r="L66"/>
  <c r="F67"/>
  <c r="L74"/>
  <c r="L81"/>
  <c r="L89"/>
  <c r="L96"/>
  <c r="L112"/>
  <c r="L116"/>
  <c r="L118"/>
  <c r="L120"/>
  <c r="F123"/>
  <c r="L149"/>
  <c r="B213"/>
  <c r="B168" s="1"/>
  <c r="L249"/>
  <c r="L239"/>
  <c r="L237" s="1"/>
  <c r="L233"/>
  <c r="J201"/>
  <c r="C286"/>
  <c r="H287"/>
  <c r="B258"/>
  <c r="H258"/>
  <c r="I258" s="1"/>
  <c r="F258"/>
  <c r="L265"/>
  <c r="L185"/>
  <c r="L201"/>
  <c r="L217"/>
  <c r="L178"/>
  <c r="L177" s="1"/>
  <c r="J185"/>
  <c r="L190"/>
  <c r="L189" s="1"/>
  <c r="L174"/>
  <c r="C288"/>
  <c r="L175"/>
  <c r="L163"/>
  <c r="J181"/>
  <c r="J197"/>
  <c r="J213"/>
  <c r="L194"/>
  <c r="L193" s="1"/>
  <c r="J177"/>
  <c r="J217"/>
  <c r="H168"/>
  <c r="F168"/>
  <c r="J171"/>
  <c r="H286"/>
  <c r="L176"/>
  <c r="L171" s="1"/>
  <c r="L47"/>
  <c r="L19"/>
  <c r="L31"/>
  <c r="L35"/>
  <c r="L23"/>
  <c r="L141"/>
  <c r="F115"/>
  <c r="J9"/>
  <c r="F7"/>
  <c r="F63"/>
  <c r="F75"/>
  <c r="F79"/>
  <c r="F95"/>
  <c r="F107"/>
  <c r="F139"/>
  <c r="F147"/>
  <c r="F151"/>
  <c r="J159"/>
  <c r="L140"/>
  <c r="L129"/>
  <c r="L113"/>
  <c r="L97"/>
  <c r="L76"/>
  <c r="L65"/>
  <c r="L44"/>
  <c r="L43" s="1"/>
  <c r="J7"/>
  <c r="F99"/>
  <c r="L125"/>
  <c r="L104"/>
  <c r="L88"/>
  <c r="F8"/>
  <c r="F287" s="1"/>
  <c r="L57"/>
  <c r="H6"/>
  <c r="F71"/>
  <c r="F83"/>
  <c r="F91"/>
  <c r="F131"/>
  <c r="F135"/>
  <c r="F143"/>
  <c r="F159"/>
  <c r="L14"/>
  <c r="L11" s="1"/>
  <c r="L85"/>
  <c r="L69"/>
  <c r="L15"/>
  <c r="B288"/>
  <c r="H288"/>
  <c r="J8"/>
  <c r="B287"/>
  <c r="E6"/>
  <c r="D287"/>
  <c r="G286"/>
  <c r="E288"/>
  <c r="G287"/>
  <c r="B286"/>
  <c r="D171"/>
  <c r="D288" s="1"/>
  <c r="D233"/>
  <c r="D168" s="1"/>
  <c r="J260"/>
  <c r="J259"/>
  <c r="J15"/>
  <c r="F346" l="1"/>
  <c r="I291"/>
  <c r="E348"/>
  <c r="K292"/>
  <c r="E349"/>
  <c r="I349" s="1"/>
  <c r="I319"/>
  <c r="I318"/>
  <c r="E347"/>
  <c r="I347" s="1"/>
  <c r="I348"/>
  <c r="I292"/>
  <c r="L348"/>
  <c r="I168"/>
  <c r="I221"/>
  <c r="I288"/>
  <c r="I286"/>
  <c r="F418"/>
  <c r="C418"/>
  <c r="H417"/>
  <c r="L347"/>
  <c r="L349"/>
  <c r="L259"/>
  <c r="D417"/>
  <c r="G419"/>
  <c r="H419"/>
  <c r="H418"/>
  <c r="C417"/>
  <c r="K348"/>
  <c r="G417"/>
  <c r="C419"/>
  <c r="D418"/>
  <c r="K396"/>
  <c r="L411"/>
  <c r="D419"/>
  <c r="K296"/>
  <c r="K291" s="1"/>
  <c r="K346" s="1"/>
  <c r="B419"/>
  <c r="B417"/>
  <c r="B418"/>
  <c r="G418"/>
  <c r="K349"/>
  <c r="K347"/>
  <c r="L291"/>
  <c r="L346" s="1"/>
  <c r="K370"/>
  <c r="L396"/>
  <c r="J411"/>
  <c r="K411"/>
  <c r="J346"/>
  <c r="H346"/>
  <c r="I346" s="1"/>
  <c r="K288"/>
  <c r="L370"/>
  <c r="L263"/>
  <c r="L258" s="1"/>
  <c r="B346"/>
  <c r="D6"/>
  <c r="D285" s="1"/>
  <c r="L71"/>
  <c r="F288"/>
  <c r="F419" s="1"/>
  <c r="K8"/>
  <c r="D346"/>
  <c r="E287"/>
  <c r="E418" s="1"/>
  <c r="K170"/>
  <c r="L143"/>
  <c r="F286"/>
  <c r="F417" s="1"/>
  <c r="K7"/>
  <c r="K286" s="1"/>
  <c r="L119"/>
  <c r="L135"/>
  <c r="L75"/>
  <c r="L131"/>
  <c r="L151"/>
  <c r="L59"/>
  <c r="L159"/>
  <c r="L155"/>
  <c r="J258"/>
  <c r="L83"/>
  <c r="L67"/>
  <c r="L91"/>
  <c r="L79"/>
  <c r="L55"/>
  <c r="L123"/>
  <c r="L63"/>
  <c r="F6"/>
  <c r="F285" s="1"/>
  <c r="H285"/>
  <c r="L99"/>
  <c r="L147"/>
  <c r="J287"/>
  <c r="J418" s="1"/>
  <c r="E285"/>
  <c r="E416" s="1"/>
  <c r="J288"/>
  <c r="J419" s="1"/>
  <c r="J168"/>
  <c r="L170"/>
  <c r="L139"/>
  <c r="L115"/>
  <c r="L127"/>
  <c r="B285"/>
  <c r="J286"/>
  <c r="J417" s="1"/>
  <c r="L9"/>
  <c r="L288" s="1"/>
  <c r="L103"/>
  <c r="L111"/>
  <c r="L95"/>
  <c r="J6"/>
  <c r="L7"/>
  <c r="L87"/>
  <c r="L260"/>
  <c r="L107"/>
  <c r="L173"/>
  <c r="L168" s="1"/>
  <c r="L169"/>
  <c r="L8"/>
  <c r="F416" l="1"/>
  <c r="E419"/>
  <c r="I419" s="1"/>
  <c r="E417"/>
  <c r="I417" s="1"/>
  <c r="L419"/>
  <c r="K417"/>
  <c r="I418"/>
  <c r="I287"/>
  <c r="I285"/>
  <c r="K419"/>
  <c r="D416"/>
  <c r="B416"/>
  <c r="H416"/>
  <c r="I416" s="1"/>
  <c r="K416"/>
  <c r="K287"/>
  <c r="K418" s="1"/>
  <c r="L286"/>
  <c r="L417" s="1"/>
  <c r="J285"/>
  <c r="J416" s="1"/>
  <c r="L6"/>
  <c r="L285" s="1"/>
  <c r="L416" s="1"/>
  <c r="L287"/>
  <c r="L418" s="1"/>
</calcChain>
</file>

<file path=xl/sharedStrings.xml><?xml version="1.0" encoding="utf-8"?>
<sst xmlns="http://schemas.openxmlformats.org/spreadsheetml/2006/main" count="400" uniqueCount="123">
  <si>
    <t>Наменование учреждения</t>
  </si>
  <si>
    <t>Лимиты потребления на год по постановлению, тыс.рублей</t>
  </si>
  <si>
    <t>Факт, натуральные показатели (Г.кал,тыс.кВт., тыс.м3)</t>
  </si>
  <si>
    <t>Исполнено, тыс.рублей</t>
  </si>
  <si>
    <t>2013 год</t>
  </si>
  <si>
    <t>Плановые назначения, тыс. рублей</t>
  </si>
  <si>
    <t>Договорные обязательства, тыс.рублей</t>
  </si>
  <si>
    <t>Ожидаемое фактическое исполнение за год, тыс.рублей</t>
  </si>
  <si>
    <t>2014 год</t>
  </si>
  <si>
    <t>в том числе:</t>
  </si>
  <si>
    <t>свет</t>
  </si>
  <si>
    <t>тепло</t>
  </si>
  <si>
    <t>вода</t>
  </si>
  <si>
    <t>МДОАУ ДС №1</t>
  </si>
  <si>
    <t>МДОАУ ДС №2</t>
  </si>
  <si>
    <t>МДОАУ ДС №3</t>
  </si>
  <si>
    <t>МДОАУ ДС №5</t>
  </si>
  <si>
    <t>МДОАУ ДС №8</t>
  </si>
  <si>
    <t>МДОАУ ДС № 9</t>
  </si>
  <si>
    <t>МДОАУ ДС № 10</t>
  </si>
  <si>
    <t>МДОАУ ДС № 12</t>
  </si>
  <si>
    <t>МДОАУ ДС № 14</t>
  </si>
  <si>
    <t>МДОАУ ДС № 15</t>
  </si>
  <si>
    <t>МДОАУ ДС № 19</t>
  </si>
  <si>
    <t>МДОАУ ДС № 22</t>
  </si>
  <si>
    <t>МДОАУ ДС № 23</t>
  </si>
  <si>
    <t>МДОАУ ДС № 27</t>
  </si>
  <si>
    <t>МДОАУ ДС № 28</t>
  </si>
  <si>
    <t>МДОАУ ДС № 30</t>
  </si>
  <si>
    <t>МДОАУ ДС № 35</t>
  </si>
  <si>
    <t>МДОАУ ДС № 36</t>
  </si>
  <si>
    <t>МДОАУ ДС № 40</t>
  </si>
  <si>
    <t>МДОАУ ДС № 45</t>
  </si>
  <si>
    <t>МДОАУ ДС № 46</t>
  </si>
  <si>
    <t>МДОАУ ДС № 47</t>
  </si>
  <si>
    <t>МДОАУ ДС № 49</t>
  </si>
  <si>
    <t>МДОАУ ДС № 50</t>
  </si>
  <si>
    <t>МДОАУ ДС № 51</t>
  </si>
  <si>
    <t>МДОАУ ДС № 52</t>
  </si>
  <si>
    <t>МДОАУ ДС № 54</t>
  </si>
  <si>
    <t>МДОАУ ДС № 55</t>
  </si>
  <si>
    <t>МДОАУ ДС № 56</t>
  </si>
  <si>
    <t>МДОАУ ДС № 59</t>
  </si>
  <si>
    <t>МДОАУ ДС № 60</t>
  </si>
  <si>
    <t>МДОАУ ДС № 61</t>
  </si>
  <si>
    <t>МДОАУ ДС № 64</t>
  </si>
  <si>
    <t>МДОАУ ДС № 66</t>
  </si>
  <si>
    <t>МДОАУ ДС № 67</t>
  </si>
  <si>
    <t>МДОАУ ДС № 68</t>
  </si>
  <si>
    <t>МДОАУ ДС № 69</t>
  </si>
  <si>
    <t>МОБУ СОШ № 2</t>
  </si>
  <si>
    <t>МОБУ СОШ № 10</t>
  </si>
  <si>
    <t>МОБУ СОШ № 12</t>
  </si>
  <si>
    <t>МОБУ СОШ № 14</t>
  </si>
  <si>
    <t>МОБУ СОШ № 15</t>
  </si>
  <si>
    <t>МОАУ СОШ № 16</t>
  </si>
  <si>
    <t>МОАУ СОШ № 17</t>
  </si>
  <si>
    <t>МОБУ СОШ № 23</t>
  </si>
  <si>
    <t>МОБУ СОШ № 24</t>
  </si>
  <si>
    <t>МОАУ гимназия № 25</t>
  </si>
  <si>
    <t>МОБУ СОШ № 27</t>
  </si>
  <si>
    <t>МОАУ СОШ № 28</t>
  </si>
  <si>
    <t>МОАУ ДОД ДЮСШ № 7</t>
  </si>
  <si>
    <t>Фактическое исполнение на 01.07.2014 год, тыс.рублей</t>
  </si>
  <si>
    <t>Фактическое исполнение на 01.07.2014 год,натуральные показатели (Гкал, тыс.кВт, тыс.м3)</t>
  </si>
  <si>
    <t>МДОАУ ЦРР ДС № 4</t>
  </si>
  <si>
    <t>МОАУ гимназия № 1</t>
  </si>
  <si>
    <t>МОАУ СОШ 4</t>
  </si>
  <si>
    <t>МОАУ СОШ 11</t>
  </si>
  <si>
    <t>МОАУ СОШ 13</t>
  </si>
  <si>
    <t>МОАУ СОШ 22</t>
  </si>
  <si>
    <t>МОАУ прогимназия</t>
  </si>
  <si>
    <t>МОАУ лицей № 6 ( в тч ДМЦ)</t>
  </si>
  <si>
    <t>МОАУ СОШ 5 (в т.ч. Досуг)</t>
  </si>
  <si>
    <t>МОАУ СОШ № 26 (в т ч ДЭЦ)</t>
  </si>
  <si>
    <t>МОАУ ДОД ДЮСШ № 1</t>
  </si>
  <si>
    <t>МОАУ ДОД ДЮСШ № 3</t>
  </si>
  <si>
    <t>МОАУ ДОД ДЮСШ № 5</t>
  </si>
  <si>
    <t>Дошкольное образование, всего</t>
  </si>
  <si>
    <t>Общее образование, всего</t>
  </si>
  <si>
    <t>Дополнительное образование, всего</t>
  </si>
  <si>
    <t>вода (в т.ч горячая)</t>
  </si>
  <si>
    <t>МОАУ ДОД ЦЭВД *</t>
  </si>
  <si>
    <t>МДОАУ ДС № 32 (объедененный)</t>
  </si>
  <si>
    <t>* снижение потребления тепло-энергоресурсов и воды в связи с ремонтом здания в 2013 году</t>
  </si>
  <si>
    <t>Ожидаемая экономия по договорным обязательствам, тыс.рублей</t>
  </si>
  <si>
    <t>ИТОГО ПО УПРАВЛЕНИЮ ОБРАЗОВАНИЯ, всего</t>
  </si>
  <si>
    <t>МОУДОД «ЦДШИ»</t>
  </si>
  <si>
    <t xml:space="preserve"> -свет</t>
  </si>
  <si>
    <t xml:space="preserve"> - тепло</t>
  </si>
  <si>
    <t xml:space="preserve"> -вода</t>
  </si>
  <si>
    <t>МОУДОД "МШ"</t>
  </si>
  <si>
    <t>МОУДОД "ХШ"</t>
  </si>
  <si>
    <t>МОУДОД "ШИ с.Белогорье"</t>
  </si>
  <si>
    <t>МУК "МИБС"</t>
  </si>
  <si>
    <t>МУК "ГДК"</t>
  </si>
  <si>
    <t>МУК ДК с.Белогорье</t>
  </si>
  <si>
    <t>МУК "ДК с.Плодопитомник"</t>
  </si>
  <si>
    <t>МАУК "ОКЦ"</t>
  </si>
  <si>
    <t>Управление образования</t>
  </si>
  <si>
    <t>Управление культуры</t>
  </si>
  <si>
    <t>- тепло</t>
  </si>
  <si>
    <t>Ожидаемая экономия по плановым назначениям, тыс.рублей</t>
  </si>
  <si>
    <t>Учреждения культуры, всего</t>
  </si>
  <si>
    <t>ИТОГО ПО УПРАВЛЕНИЮ КУЛЬТУРЫ, всего</t>
  </si>
  <si>
    <t>Управление по делам ГОЧС</t>
  </si>
  <si>
    <t>ИТОГО ПО УПРАВЛЕНИЮ ГОЧС, всего</t>
  </si>
  <si>
    <t xml:space="preserve"> МУ "БГАЖЦ"</t>
  </si>
  <si>
    <t>- свет</t>
  </si>
  <si>
    <t>КУМИ</t>
  </si>
  <si>
    <t>- вода</t>
  </si>
  <si>
    <t>ИТОГО ПО КОМИТЕТУ, всего</t>
  </si>
  <si>
    <t>Администрация города</t>
  </si>
  <si>
    <t>МБУ ЦРМ и ОИ "Выбор"</t>
  </si>
  <si>
    <t>МКУ "ЭХС"</t>
  </si>
  <si>
    <t>МУ СОК "Юность"</t>
  </si>
  <si>
    <t>МУ "ГДС"</t>
  </si>
  <si>
    <t>МУ "ГУКС"</t>
  </si>
  <si>
    <t>МУ "ИА "Город"</t>
  </si>
  <si>
    <t>Администрация</t>
  </si>
  <si>
    <t>ИТОГО ПО АДМИНИСТРАЦИИ, всего</t>
  </si>
  <si>
    <t>Комитет по управлению имуществом</t>
  </si>
  <si>
    <t>ИТОГО, в том числе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</si>
</sst>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5" tint="0.5999938962981048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3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/>
    <xf numFmtId="0" fontId="3" fillId="4" borderId="1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/>
    <xf numFmtId="0" fontId="4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Border="1"/>
    <xf numFmtId="0" fontId="4" fillId="5" borderId="1" xfId="0" applyFont="1" applyFill="1" applyBorder="1" applyAlignment="1">
      <alignment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4" fontId="4" fillId="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9" fontId="1" fillId="0" borderId="1" xfId="1" applyFont="1" applyBorder="1"/>
    <xf numFmtId="9" fontId="3" fillId="0" borderId="1" xfId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9" fontId="1" fillId="5" borderId="1" xfId="1" applyFont="1" applyFill="1" applyBorder="1" applyAlignment="1">
      <alignment horizontal="center" vertical="center"/>
    </xf>
    <xf numFmtId="9" fontId="4" fillId="4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9" fontId="3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9"/>
  <sheetViews>
    <sheetView tabSelected="1" zoomScaleNormal="100" workbookViewId="0">
      <pane xSplit="1" ySplit="4" topLeftCell="B406" activePane="bottomRight" state="frozen"/>
      <selection pane="topRight" activeCell="B1" sqref="B1"/>
      <selection pane="bottomLeft" activeCell="A5" sqref="A5"/>
      <selection pane="bottomRight" activeCell="I326" sqref="I326"/>
    </sheetView>
  </sheetViews>
  <sheetFormatPr defaultRowHeight="15"/>
  <cols>
    <col min="1" max="1" width="32.7109375" style="1" customWidth="1"/>
    <col min="2" max="2" width="14.7109375" style="1" customWidth="1"/>
    <col min="3" max="3" width="16.140625" style="73" customWidth="1"/>
    <col min="4" max="4" width="13.42578125" style="1" customWidth="1"/>
    <col min="5" max="5" width="12.28515625" style="1" customWidth="1"/>
    <col min="6" max="6" width="13.5703125" style="1" customWidth="1"/>
    <col min="7" max="7" width="13.5703125" style="3" customWidth="1"/>
    <col min="8" max="9" width="11.85546875" style="1" customWidth="1"/>
    <col min="10" max="11" width="14.5703125" style="1" customWidth="1"/>
    <col min="12" max="12" width="18.28515625" style="1" customWidth="1"/>
    <col min="13" max="16384" width="9.140625" style="1"/>
  </cols>
  <sheetData>
    <row r="1" spans="1:15">
      <c r="A1" s="21"/>
      <c r="B1" s="21"/>
      <c r="C1" s="57"/>
      <c r="D1" s="21"/>
      <c r="E1" s="21"/>
      <c r="F1" s="21"/>
      <c r="G1" s="22"/>
      <c r="H1" s="21"/>
      <c r="I1" s="21"/>
      <c r="J1" s="21"/>
      <c r="K1" s="21"/>
      <c r="L1" s="21"/>
    </row>
    <row r="2" spans="1:15" ht="25.5" customHeight="1">
      <c r="A2" s="100" t="s">
        <v>0</v>
      </c>
      <c r="B2" s="100" t="s">
        <v>4</v>
      </c>
      <c r="C2" s="100"/>
      <c r="D2" s="100"/>
      <c r="E2" s="100" t="s">
        <v>8</v>
      </c>
      <c r="F2" s="100"/>
      <c r="G2" s="100"/>
      <c r="H2" s="100"/>
      <c r="I2" s="100"/>
      <c r="J2" s="100"/>
      <c r="K2" s="4"/>
      <c r="L2" s="4"/>
      <c r="M2" s="5"/>
      <c r="N2" s="5"/>
    </row>
    <row r="3" spans="1:15" ht="135">
      <c r="A3" s="100"/>
      <c r="B3" s="6" t="s">
        <v>1</v>
      </c>
      <c r="C3" s="6" t="s">
        <v>2</v>
      </c>
      <c r="D3" s="4" t="s">
        <v>3</v>
      </c>
      <c r="E3" s="4" t="s">
        <v>5</v>
      </c>
      <c r="F3" s="4" t="s">
        <v>6</v>
      </c>
      <c r="G3" s="6" t="s">
        <v>64</v>
      </c>
      <c r="H3" s="101" t="s">
        <v>63</v>
      </c>
      <c r="I3" s="102"/>
      <c r="J3" s="4" t="s">
        <v>7</v>
      </c>
      <c r="K3" s="4" t="s">
        <v>102</v>
      </c>
      <c r="L3" s="4" t="s">
        <v>85</v>
      </c>
      <c r="M3" s="5"/>
      <c r="N3" s="5"/>
      <c r="O3"/>
    </row>
    <row r="4" spans="1:15" s="10" customFormat="1">
      <c r="A4" s="7">
        <v>1</v>
      </c>
      <c r="B4" s="8">
        <v>2</v>
      </c>
      <c r="C4" s="8">
        <v>3</v>
      </c>
      <c r="D4" s="7">
        <v>4</v>
      </c>
      <c r="E4" s="7">
        <v>5</v>
      </c>
      <c r="F4" s="7">
        <v>6</v>
      </c>
      <c r="G4" s="8">
        <v>7</v>
      </c>
      <c r="H4" s="7">
        <v>8</v>
      </c>
      <c r="I4" s="7">
        <v>9</v>
      </c>
      <c r="J4" s="7">
        <v>10</v>
      </c>
      <c r="K4" s="7">
        <v>11</v>
      </c>
      <c r="L4" s="84">
        <v>12</v>
      </c>
      <c r="M4" s="9"/>
      <c r="N4" s="9"/>
    </row>
    <row r="5" spans="1:15" s="14" customFormat="1">
      <c r="A5" s="11" t="s">
        <v>99</v>
      </c>
      <c r="B5" s="12"/>
      <c r="C5" s="12"/>
      <c r="D5" s="11"/>
      <c r="E5" s="11"/>
      <c r="F5" s="11"/>
      <c r="G5" s="12"/>
      <c r="H5" s="11"/>
      <c r="I5" s="85"/>
      <c r="J5" s="11"/>
      <c r="K5" s="11"/>
      <c r="L5" s="11"/>
      <c r="M5" s="13"/>
      <c r="N5" s="13"/>
    </row>
    <row r="6" spans="1:15" s="17" customFormat="1" ht="19.5" customHeight="1">
      <c r="A6" s="15" t="s">
        <v>78</v>
      </c>
      <c r="B6" s="16">
        <f>B11+B15+B19+B23+B27+B31+B35+B39+B43+B47+B51+B55+B59+B63+B67+B71+B75+B79+B83+B87+B91+B95+B99+B103+B107+B111+B115+B119+B123+B127+B131+B135+B139+B143+B147+B151+B155+B159+B163</f>
        <v>64991.939999999995</v>
      </c>
      <c r="C6" s="16"/>
      <c r="D6" s="16">
        <f t="shared" ref="D6:L9" si="0">D11+D15+D19+D23+D27+D31+D35+D39+D43+D47+D51+D55+D59+D63+D67+D71+D75+D79+D83+D87+D91+D95+D99+D103+D107+D111+D115+D119+D123+D127+D131+D135+D139+D143+D147+D151+D155+D159+D163</f>
        <v>57070.289999999994</v>
      </c>
      <c r="E6" s="16">
        <f t="shared" si="0"/>
        <v>67649.210000000006</v>
      </c>
      <c r="F6" s="16">
        <f t="shared" si="0"/>
        <v>67649.210000000006</v>
      </c>
      <c r="G6" s="16"/>
      <c r="H6" s="16">
        <f t="shared" si="0"/>
        <v>29614.070000000003</v>
      </c>
      <c r="I6" s="95">
        <f t="shared" ref="I6:I8" si="1">H6/E6</f>
        <v>0.43775928795029534</v>
      </c>
      <c r="J6" s="16">
        <f t="shared" si="0"/>
        <v>66512.210000000006</v>
      </c>
      <c r="K6" s="16">
        <f t="shared" si="0"/>
        <v>0</v>
      </c>
      <c r="L6" s="16">
        <f t="shared" si="0"/>
        <v>1137</v>
      </c>
    </row>
    <row r="7" spans="1:15" s="20" customFormat="1" ht="19.5" customHeight="1">
      <c r="A7" s="18" t="s">
        <v>10</v>
      </c>
      <c r="B7" s="19">
        <f>B12+B16+B20+B24+B28+B32+B36+B40+B44+B48+B52+B56+B60+B64+B68+B72+B76+B80+B84+B88+B92+B96+B100+B104+B108+B112+B116+B120+B124+B128+B132+B136+B140+B144+B148+B152+B156+B160+B164</f>
        <v>13111.66</v>
      </c>
      <c r="C7" s="19">
        <f>C12+C16+C20+C24+C28+C32+C36+C40+C44+C48+C52+C56+C60+C64+C68+C72+C76+C80+C84+C88+C92+C96+C100+C104+C108+C112+C116+C120+C124+C128+C132+C136+C140+C144+C148+C152+C156+C160+C164</f>
        <v>2589.1000000000008</v>
      </c>
      <c r="D7" s="19">
        <f t="shared" si="0"/>
        <v>13593.09</v>
      </c>
      <c r="E7" s="19">
        <f t="shared" si="0"/>
        <v>16212.869999999995</v>
      </c>
      <c r="F7" s="19">
        <f t="shared" si="0"/>
        <v>16212.869999999995</v>
      </c>
      <c r="G7" s="19">
        <f>G12+G16+G20+G24+G28+G32+G36+G40+G44+G48+G52+G56+G60+G64+G68+G72+G76+G80+G84+G88+G92+G96+G100+G104+G108+G112+G116+G120+G124+G128+G132+G136+G140+G144+G148+G152+G156+G160+G164</f>
        <v>1188.44</v>
      </c>
      <c r="H7" s="19">
        <f t="shared" si="0"/>
        <v>5939.9599999999991</v>
      </c>
      <c r="I7" s="87">
        <f t="shared" si="1"/>
        <v>0.36637313442962294</v>
      </c>
      <c r="J7" s="19">
        <f t="shared" si="0"/>
        <v>16155.869999999995</v>
      </c>
      <c r="K7" s="19">
        <f>E7-F7</f>
        <v>0</v>
      </c>
      <c r="L7" s="19">
        <f t="shared" si="0"/>
        <v>57</v>
      </c>
    </row>
    <row r="8" spans="1:15" s="20" customFormat="1" ht="19.5" customHeight="1">
      <c r="A8" s="18" t="s">
        <v>11</v>
      </c>
      <c r="B8" s="19">
        <f>B13+B17+B21+B25+B29+B33+B37+B41+B45+B49+B53+B57+B61+B65+B69+B73+B77+B81+B85+B89+B93+B97+B101+B105+B109+B113+B117+B121+B125+B129+B133+B137+B141+B145+B149+B153+B157+B161+B165</f>
        <v>44298.680000000008</v>
      </c>
      <c r="C8" s="19">
        <f>C13+C17+C21+C25+C29+C33+C37+C41+C45+C49+C53+C57+C61+C65+C69+C73+C77+C81+C85+C89+C93+C97+C101+C105+C109+C113+C117+C121+C125+C129+C133+C137+C141+C145+C149+C153+C157+C161+C165</f>
        <v>24390.66</v>
      </c>
      <c r="D8" s="19">
        <f t="shared" si="0"/>
        <v>36908.1</v>
      </c>
      <c r="E8" s="19">
        <f t="shared" si="0"/>
        <v>43715.44000000001</v>
      </c>
      <c r="F8" s="19">
        <f t="shared" si="0"/>
        <v>43715.44000000001</v>
      </c>
      <c r="G8" s="19">
        <f>G13+G17+G21+G25+G29+G33+G37+G41+G45+G49+G53+G57+G61+G65+G69+G73+G77+G81+G85+G89+G93+G97+G101+G105+G109+G113+G117+G121+G125+G129+G133+G137+G141+G145+G149+G153+G157+G161+G165</f>
        <v>13875.080000000002</v>
      </c>
      <c r="H8" s="19">
        <f t="shared" si="0"/>
        <v>20452.260000000002</v>
      </c>
      <c r="I8" s="87">
        <f t="shared" si="1"/>
        <v>0.46784980318166758</v>
      </c>
      <c r="J8" s="19">
        <f t="shared" si="0"/>
        <v>42635.440000000017</v>
      </c>
      <c r="K8" s="19">
        <f t="shared" ref="K8:K9" si="2">E8-F8</f>
        <v>0</v>
      </c>
      <c r="L8" s="19">
        <f t="shared" si="0"/>
        <v>1080</v>
      </c>
    </row>
    <row r="9" spans="1:15" s="20" customFormat="1" ht="19.5" customHeight="1">
      <c r="A9" s="18" t="s">
        <v>12</v>
      </c>
      <c r="B9" s="19">
        <f>B14+B18+B22+B26+B30+B34+B38+B42+B46+B50+B54+B58+B62+B66+B70+B74+B78+B82+B86+B90+B94+B98+B102+B106+B110+B114+B118+B122+B126+B130+B134+B138+B142+B146+B150+B154+B158+B162+B166</f>
        <v>7581.6000000000013</v>
      </c>
      <c r="C9" s="19">
        <f>C14+C18+C22+C26+C30+C34+C38+C42+C46+C50+C54+C58+C62+C66+C70+C74+C78+C82+C86+C90+C94+C98+C102+C106+C110+C114+C118+C122+C126+C130+C134+C138+C142+C146+C150+C154+C158+C162+C166</f>
        <v>157.31</v>
      </c>
      <c r="D9" s="19">
        <f t="shared" si="0"/>
        <v>6569.0999999999995</v>
      </c>
      <c r="E9" s="19">
        <f t="shared" si="0"/>
        <v>7720.9000000000005</v>
      </c>
      <c r="F9" s="19">
        <f t="shared" si="0"/>
        <v>7720.9000000000005</v>
      </c>
      <c r="G9" s="19">
        <f>G14+G18+G22+G26+G30+G34+G38+G42+G46+G50+G54+G58+G62+G66+G70+G74+G78+G82+G86+G90+G94+G98+G102+G106+G110+G114+G118+G122+G126+G130+G134+G138+G142+G146+G150+G154+G158+G162+G166</f>
        <v>80.199999999999989</v>
      </c>
      <c r="H9" s="19">
        <f t="shared" si="0"/>
        <v>3221.8500000000013</v>
      </c>
      <c r="I9" s="87">
        <f>H9/E9</f>
        <v>0.4172894351694752</v>
      </c>
      <c r="J9" s="19">
        <f t="shared" si="0"/>
        <v>7720.9000000000005</v>
      </c>
      <c r="K9" s="19">
        <f t="shared" si="2"/>
        <v>0</v>
      </c>
      <c r="L9" s="19">
        <f t="shared" si="0"/>
        <v>0</v>
      </c>
    </row>
    <row r="10" spans="1:15" hidden="1">
      <c r="A10" s="21" t="s">
        <v>9</v>
      </c>
      <c r="B10" s="21"/>
      <c r="C10" s="22"/>
      <c r="D10" s="21"/>
      <c r="E10" s="21"/>
      <c r="F10" s="21"/>
      <c r="G10" s="22"/>
      <c r="H10" s="21"/>
      <c r="I10" s="88"/>
      <c r="J10" s="21"/>
      <c r="K10" s="21"/>
      <c r="L10" s="21"/>
    </row>
    <row r="11" spans="1:15" hidden="1">
      <c r="A11" s="23" t="s">
        <v>13</v>
      </c>
      <c r="B11" s="24">
        <f>B12+B13+B14</f>
        <v>975.76</v>
      </c>
      <c r="C11" s="24">
        <f>C12+C13+C14</f>
        <v>305.98</v>
      </c>
      <c r="D11" s="24">
        <f>D12+D13+D14</f>
        <v>722.72</v>
      </c>
      <c r="E11" s="24">
        <f>E12+E13+E14</f>
        <v>1008.1999999999999</v>
      </c>
      <c r="F11" s="24">
        <f>F12+F13+F14</f>
        <v>1008.1999999999999</v>
      </c>
      <c r="G11" s="25"/>
      <c r="H11" s="24">
        <f>H12+H13+H14</f>
        <v>426.46000000000004</v>
      </c>
      <c r="I11" s="89">
        <f>H11/E11</f>
        <v>0.42299146994643927</v>
      </c>
      <c r="J11" s="24">
        <f>E11</f>
        <v>1008.1999999999999</v>
      </c>
      <c r="K11" s="24"/>
      <c r="L11" s="26">
        <f>SUM(L12:L14)</f>
        <v>0</v>
      </c>
    </row>
    <row r="12" spans="1:15" hidden="1">
      <c r="A12" s="21" t="s">
        <v>10</v>
      </c>
      <c r="B12" s="27">
        <v>246.68</v>
      </c>
      <c r="C12" s="27">
        <v>50</v>
      </c>
      <c r="D12" s="27">
        <v>262.69</v>
      </c>
      <c r="E12" s="27">
        <v>279.13</v>
      </c>
      <c r="F12" s="27">
        <v>279.13</v>
      </c>
      <c r="G12" s="28">
        <v>20.2</v>
      </c>
      <c r="H12" s="27">
        <v>109.33</v>
      </c>
      <c r="I12" s="90">
        <f t="shared" ref="I12:I75" si="3">H12/E12</f>
        <v>0.39168129545373126</v>
      </c>
      <c r="J12" s="27">
        <f t="shared" ref="J12:J75" si="4">E12</f>
        <v>279.13</v>
      </c>
      <c r="K12" s="27"/>
      <c r="L12" s="29">
        <f>F12-J12</f>
        <v>0</v>
      </c>
    </row>
    <row r="13" spans="1:15" hidden="1">
      <c r="A13" s="21" t="s">
        <v>11</v>
      </c>
      <c r="B13" s="27">
        <v>532.28</v>
      </c>
      <c r="C13" s="28">
        <v>253.86</v>
      </c>
      <c r="D13" s="27">
        <v>378.5</v>
      </c>
      <c r="E13" s="27">
        <v>532.28</v>
      </c>
      <c r="F13" s="27">
        <v>532.28</v>
      </c>
      <c r="G13" s="28">
        <v>157.6</v>
      </c>
      <c r="H13" s="27">
        <v>234.97</v>
      </c>
      <c r="I13" s="90">
        <f t="shared" si="3"/>
        <v>0.44144059517547157</v>
      </c>
      <c r="J13" s="27">
        <f t="shared" si="4"/>
        <v>532.28</v>
      </c>
      <c r="K13" s="27"/>
      <c r="L13" s="29">
        <f>F13-J13</f>
        <v>0</v>
      </c>
    </row>
    <row r="14" spans="1:15" hidden="1">
      <c r="A14" s="21" t="s">
        <v>12</v>
      </c>
      <c r="B14" s="27">
        <v>196.8</v>
      </c>
      <c r="C14" s="28">
        <v>2.12</v>
      </c>
      <c r="D14" s="27">
        <v>81.53</v>
      </c>
      <c r="E14" s="27">
        <v>196.79</v>
      </c>
      <c r="F14" s="27">
        <v>196.79</v>
      </c>
      <c r="G14" s="28">
        <v>1.9</v>
      </c>
      <c r="H14" s="27">
        <v>82.16</v>
      </c>
      <c r="I14" s="90">
        <f t="shared" si="3"/>
        <v>0.41750088927282891</v>
      </c>
      <c r="J14" s="27">
        <f t="shared" si="4"/>
        <v>196.79</v>
      </c>
      <c r="K14" s="27"/>
      <c r="L14" s="29">
        <f>F14-J14</f>
        <v>0</v>
      </c>
    </row>
    <row r="15" spans="1:15" hidden="1">
      <c r="A15" s="23" t="s">
        <v>14</v>
      </c>
      <c r="B15" s="24">
        <f t="shared" ref="B15:H15" si="5">B16+B17+B18</f>
        <v>1536.97</v>
      </c>
      <c r="C15" s="25">
        <f t="shared" si="5"/>
        <v>936.24</v>
      </c>
      <c r="D15" s="24">
        <f t="shared" si="5"/>
        <v>1848.0500000000002</v>
      </c>
      <c r="E15" s="24">
        <f t="shared" si="5"/>
        <v>4305.2</v>
      </c>
      <c r="F15" s="24">
        <f t="shared" si="5"/>
        <v>4305.2</v>
      </c>
      <c r="G15" s="25"/>
      <c r="H15" s="24">
        <f t="shared" si="5"/>
        <v>1238.47</v>
      </c>
      <c r="I15" s="89">
        <f t="shared" si="3"/>
        <v>0.28766840100343771</v>
      </c>
      <c r="J15" s="24">
        <f>J16+J17+J18</f>
        <v>3805.2</v>
      </c>
      <c r="K15" s="24"/>
      <c r="L15" s="24">
        <f>L16+L17+L18</f>
        <v>500</v>
      </c>
    </row>
    <row r="16" spans="1:15" hidden="1">
      <c r="A16" s="21" t="s">
        <v>10</v>
      </c>
      <c r="B16" s="27">
        <v>263.58</v>
      </c>
      <c r="C16" s="28">
        <v>80.45</v>
      </c>
      <c r="D16" s="27">
        <v>422.37</v>
      </c>
      <c r="E16" s="27">
        <v>991.02</v>
      </c>
      <c r="F16" s="27">
        <v>991.02</v>
      </c>
      <c r="G16" s="28">
        <v>44.3</v>
      </c>
      <c r="H16" s="27">
        <v>273.51</v>
      </c>
      <c r="I16" s="90">
        <f t="shared" si="3"/>
        <v>0.27598837561300477</v>
      </c>
      <c r="J16" s="27">
        <f t="shared" si="4"/>
        <v>991.02</v>
      </c>
      <c r="K16" s="27"/>
      <c r="L16" s="29">
        <f>F16-J16</f>
        <v>0</v>
      </c>
    </row>
    <row r="17" spans="1:12" hidden="1">
      <c r="A17" s="21" t="s">
        <v>11</v>
      </c>
      <c r="B17" s="27">
        <v>1043.69</v>
      </c>
      <c r="C17" s="28">
        <v>850</v>
      </c>
      <c r="D17" s="27">
        <v>1189.26</v>
      </c>
      <c r="E17" s="27">
        <v>2864.39</v>
      </c>
      <c r="F17" s="27">
        <v>2864.39</v>
      </c>
      <c r="G17" s="28">
        <v>608.51</v>
      </c>
      <c r="H17" s="27">
        <v>784.29</v>
      </c>
      <c r="I17" s="90">
        <f t="shared" si="3"/>
        <v>0.27380698857348335</v>
      </c>
      <c r="J17" s="27">
        <f>E17-500</f>
        <v>2364.39</v>
      </c>
      <c r="K17" s="27"/>
      <c r="L17" s="29">
        <f>F17-J17</f>
        <v>500</v>
      </c>
    </row>
    <row r="18" spans="1:12" hidden="1">
      <c r="A18" s="21" t="s">
        <v>12</v>
      </c>
      <c r="B18" s="27">
        <v>229.7</v>
      </c>
      <c r="C18" s="28">
        <v>5.79</v>
      </c>
      <c r="D18" s="27">
        <v>236.42</v>
      </c>
      <c r="E18" s="27">
        <v>449.79</v>
      </c>
      <c r="F18" s="27">
        <v>449.79</v>
      </c>
      <c r="G18" s="28">
        <v>4.2300000000000004</v>
      </c>
      <c r="H18" s="27">
        <v>180.67</v>
      </c>
      <c r="I18" s="90">
        <f t="shared" si="3"/>
        <v>0.40167633784655055</v>
      </c>
      <c r="J18" s="27">
        <f t="shared" si="4"/>
        <v>449.79</v>
      </c>
      <c r="K18" s="27"/>
      <c r="L18" s="29">
        <f>F18-J18</f>
        <v>0</v>
      </c>
    </row>
    <row r="19" spans="1:12" hidden="1">
      <c r="A19" s="23" t="s">
        <v>15</v>
      </c>
      <c r="B19" s="24">
        <f t="shared" ref="B19:H19" si="6">B20+B21+B22</f>
        <v>2131</v>
      </c>
      <c r="C19" s="25">
        <f t="shared" si="6"/>
        <v>1068.6099999999999</v>
      </c>
      <c r="D19" s="24">
        <f t="shared" si="6"/>
        <v>2239.91</v>
      </c>
      <c r="E19" s="24">
        <f t="shared" si="6"/>
        <v>2202.5</v>
      </c>
      <c r="F19" s="24">
        <f t="shared" si="6"/>
        <v>2202.5</v>
      </c>
      <c r="G19" s="25"/>
      <c r="H19" s="24">
        <f t="shared" si="6"/>
        <v>1010.97</v>
      </c>
      <c r="I19" s="89">
        <f t="shared" si="3"/>
        <v>0.45901021566401817</v>
      </c>
      <c r="J19" s="24">
        <f t="shared" si="4"/>
        <v>2202.5</v>
      </c>
      <c r="K19" s="24"/>
      <c r="L19" s="26">
        <f>L20+L21+L22</f>
        <v>0</v>
      </c>
    </row>
    <row r="20" spans="1:12" hidden="1">
      <c r="A20" s="21" t="s">
        <v>10</v>
      </c>
      <c r="B20" s="27">
        <v>367.72</v>
      </c>
      <c r="C20" s="28">
        <v>113.1</v>
      </c>
      <c r="D20" s="27">
        <v>594.02</v>
      </c>
      <c r="E20" s="27">
        <v>438.6</v>
      </c>
      <c r="F20" s="27">
        <v>438.6</v>
      </c>
      <c r="G20" s="28">
        <v>43.74</v>
      </c>
      <c r="H20" s="27">
        <v>235.78</v>
      </c>
      <c r="I20" s="90">
        <f t="shared" si="3"/>
        <v>0.53757409940720469</v>
      </c>
      <c r="J20" s="27">
        <f t="shared" si="4"/>
        <v>438.6</v>
      </c>
      <c r="K20" s="27"/>
      <c r="L20" s="29">
        <f>F20-J20</f>
        <v>0</v>
      </c>
    </row>
    <row r="21" spans="1:12" hidden="1">
      <c r="A21" s="21" t="s">
        <v>11</v>
      </c>
      <c r="B21" s="27">
        <v>1394.07</v>
      </c>
      <c r="C21" s="28">
        <v>950</v>
      </c>
      <c r="D21" s="27">
        <v>1421.24</v>
      </c>
      <c r="E21" s="27">
        <v>1394.08</v>
      </c>
      <c r="F21" s="27">
        <v>1394.08</v>
      </c>
      <c r="G21" s="28">
        <v>454.3</v>
      </c>
      <c r="H21" s="27">
        <v>677.33</v>
      </c>
      <c r="I21" s="90">
        <f t="shared" si="3"/>
        <v>0.48586164352117533</v>
      </c>
      <c r="J21" s="27">
        <f t="shared" si="4"/>
        <v>1394.08</v>
      </c>
      <c r="K21" s="27"/>
      <c r="L21" s="29">
        <f>F21-J21</f>
        <v>0</v>
      </c>
    </row>
    <row r="22" spans="1:12" hidden="1">
      <c r="A22" s="21" t="s">
        <v>12</v>
      </c>
      <c r="B22" s="27">
        <v>369.21</v>
      </c>
      <c r="C22" s="28">
        <v>5.51</v>
      </c>
      <c r="D22" s="27">
        <v>224.65</v>
      </c>
      <c r="E22" s="27">
        <v>369.82</v>
      </c>
      <c r="F22" s="27">
        <v>369.82</v>
      </c>
      <c r="G22" s="28">
        <v>2.29</v>
      </c>
      <c r="H22" s="27">
        <v>97.86</v>
      </c>
      <c r="I22" s="90">
        <f t="shared" si="3"/>
        <v>0.26461521821426642</v>
      </c>
      <c r="J22" s="27">
        <f t="shared" si="4"/>
        <v>369.82</v>
      </c>
      <c r="K22" s="27"/>
      <c r="L22" s="29">
        <f>F22-J22</f>
        <v>0</v>
      </c>
    </row>
    <row r="23" spans="1:12" hidden="1">
      <c r="A23" s="23" t="s">
        <v>16</v>
      </c>
      <c r="B23" s="24">
        <f t="shared" ref="B23:H23" si="7">B24+B25+B26</f>
        <v>1324.06</v>
      </c>
      <c r="C23" s="25">
        <f t="shared" si="7"/>
        <v>627.30000000000007</v>
      </c>
      <c r="D23" s="24">
        <f t="shared" si="7"/>
        <v>1275.8700000000001</v>
      </c>
      <c r="E23" s="24">
        <f t="shared" si="7"/>
        <v>1368.1000000000001</v>
      </c>
      <c r="F23" s="24">
        <f t="shared" si="7"/>
        <v>1368.1000000000001</v>
      </c>
      <c r="G23" s="25"/>
      <c r="H23" s="24">
        <f t="shared" si="7"/>
        <v>755.84</v>
      </c>
      <c r="I23" s="89">
        <f t="shared" si="3"/>
        <v>0.55247423433959497</v>
      </c>
      <c r="J23" s="24">
        <f t="shared" si="4"/>
        <v>1368.1000000000001</v>
      </c>
      <c r="K23" s="24"/>
      <c r="L23" s="26">
        <f>L24+L25+L26</f>
        <v>0</v>
      </c>
    </row>
    <row r="24" spans="1:12" hidden="1">
      <c r="A24" s="21" t="s">
        <v>10</v>
      </c>
      <c r="B24" s="27">
        <v>301.98</v>
      </c>
      <c r="C24" s="28">
        <v>54.36</v>
      </c>
      <c r="D24" s="27">
        <v>304.69</v>
      </c>
      <c r="E24" s="27">
        <v>346.03</v>
      </c>
      <c r="F24" s="27">
        <v>346.03</v>
      </c>
      <c r="G24" s="28">
        <v>20.55</v>
      </c>
      <c r="H24" s="27">
        <v>134.05000000000001</v>
      </c>
      <c r="I24" s="90">
        <f t="shared" si="3"/>
        <v>0.3873941565760195</v>
      </c>
      <c r="J24" s="27">
        <f t="shared" si="4"/>
        <v>346.03</v>
      </c>
      <c r="K24" s="27"/>
      <c r="L24" s="29">
        <f>F24-J24</f>
        <v>0</v>
      </c>
    </row>
    <row r="25" spans="1:12" hidden="1">
      <c r="A25" s="21" t="s">
        <v>11</v>
      </c>
      <c r="B25" s="27">
        <v>845.39</v>
      </c>
      <c r="C25" s="28">
        <v>570</v>
      </c>
      <c r="D25" s="27">
        <v>850.54</v>
      </c>
      <c r="E25" s="27">
        <v>845.39</v>
      </c>
      <c r="F25" s="27">
        <v>845.39</v>
      </c>
      <c r="G25" s="28">
        <v>371.03</v>
      </c>
      <c r="H25" s="27">
        <v>553.17999999999995</v>
      </c>
      <c r="I25" s="90">
        <f t="shared" si="3"/>
        <v>0.654348880398396</v>
      </c>
      <c r="J25" s="27">
        <f t="shared" si="4"/>
        <v>845.39</v>
      </c>
      <c r="K25" s="27"/>
      <c r="L25" s="29">
        <f>F25-J25</f>
        <v>0</v>
      </c>
    </row>
    <row r="26" spans="1:12" hidden="1">
      <c r="A26" s="21" t="s">
        <v>12</v>
      </c>
      <c r="B26" s="27">
        <v>176.69</v>
      </c>
      <c r="C26" s="28">
        <v>2.94</v>
      </c>
      <c r="D26" s="27">
        <v>120.64</v>
      </c>
      <c r="E26" s="27">
        <v>176.68</v>
      </c>
      <c r="F26" s="27">
        <v>176.68</v>
      </c>
      <c r="G26" s="28">
        <v>1.61</v>
      </c>
      <c r="H26" s="27">
        <v>68.61</v>
      </c>
      <c r="I26" s="90">
        <f t="shared" si="3"/>
        <v>0.38832918270319217</v>
      </c>
      <c r="J26" s="27">
        <f t="shared" si="4"/>
        <v>176.68</v>
      </c>
      <c r="K26" s="27"/>
      <c r="L26" s="29">
        <f>F26-J26</f>
        <v>0</v>
      </c>
    </row>
    <row r="27" spans="1:12" hidden="1">
      <c r="A27" s="23" t="s">
        <v>17</v>
      </c>
      <c r="B27" s="24">
        <f t="shared" ref="B27:H27" si="8">B28+B29+B30</f>
        <v>930.5</v>
      </c>
      <c r="C27" s="25">
        <f t="shared" si="8"/>
        <v>488.4</v>
      </c>
      <c r="D27" s="24">
        <f t="shared" si="8"/>
        <v>968.34</v>
      </c>
      <c r="E27" s="24">
        <f t="shared" si="8"/>
        <v>961.4</v>
      </c>
      <c r="F27" s="24">
        <f t="shared" si="8"/>
        <v>961.4</v>
      </c>
      <c r="G27" s="25"/>
      <c r="H27" s="24">
        <f t="shared" si="8"/>
        <v>478.24</v>
      </c>
      <c r="I27" s="89">
        <f t="shared" si="3"/>
        <v>0.49744123153734138</v>
      </c>
      <c r="J27" s="24">
        <f t="shared" si="4"/>
        <v>961.4</v>
      </c>
      <c r="K27" s="24"/>
      <c r="L27" s="26">
        <f>L28+L29+L30</f>
        <v>0</v>
      </c>
    </row>
    <row r="28" spans="1:12" hidden="1">
      <c r="A28" s="21" t="s">
        <v>10</v>
      </c>
      <c r="B28" s="27">
        <v>192</v>
      </c>
      <c r="C28" s="28">
        <v>46.71</v>
      </c>
      <c r="D28" s="27">
        <v>230.74</v>
      </c>
      <c r="E28" s="27">
        <v>222.91</v>
      </c>
      <c r="F28" s="27">
        <v>222.91</v>
      </c>
      <c r="G28" s="28">
        <v>16.87</v>
      </c>
      <c r="H28" s="27">
        <v>90.42</v>
      </c>
      <c r="I28" s="90">
        <f t="shared" si="3"/>
        <v>0.40563456103360102</v>
      </c>
      <c r="J28" s="27">
        <f t="shared" si="4"/>
        <v>222.91</v>
      </c>
      <c r="K28" s="27"/>
      <c r="L28" s="29">
        <f>F28-J28</f>
        <v>0</v>
      </c>
    </row>
    <row r="29" spans="1:12" hidden="1">
      <c r="A29" s="21" t="s">
        <v>11</v>
      </c>
      <c r="B29" s="27">
        <v>660.51</v>
      </c>
      <c r="C29" s="28">
        <v>440</v>
      </c>
      <c r="D29" s="27">
        <v>668.85</v>
      </c>
      <c r="E29" s="27">
        <v>660.51</v>
      </c>
      <c r="F29" s="27">
        <v>660.51</v>
      </c>
      <c r="G29" s="28">
        <v>237.72</v>
      </c>
      <c r="H29" s="27">
        <v>354.43</v>
      </c>
      <c r="I29" s="90">
        <f t="shared" si="3"/>
        <v>0.53660050566986117</v>
      </c>
      <c r="J29" s="27">
        <f t="shared" si="4"/>
        <v>660.51</v>
      </c>
      <c r="K29" s="27"/>
      <c r="L29" s="29">
        <f>F29-J29</f>
        <v>0</v>
      </c>
    </row>
    <row r="30" spans="1:12" hidden="1">
      <c r="A30" s="21" t="s">
        <v>12</v>
      </c>
      <c r="B30" s="27">
        <v>77.989999999999995</v>
      </c>
      <c r="C30" s="28">
        <v>1.69</v>
      </c>
      <c r="D30" s="27">
        <v>68.75</v>
      </c>
      <c r="E30" s="27">
        <v>77.98</v>
      </c>
      <c r="F30" s="27">
        <v>77.98</v>
      </c>
      <c r="G30" s="28">
        <v>0.78</v>
      </c>
      <c r="H30" s="27">
        <v>33.39</v>
      </c>
      <c r="I30" s="90">
        <f t="shared" si="3"/>
        <v>0.42818671454219032</v>
      </c>
      <c r="J30" s="27">
        <f t="shared" si="4"/>
        <v>77.98</v>
      </c>
      <c r="K30" s="27"/>
      <c r="L30" s="29">
        <f>F30-J30</f>
        <v>0</v>
      </c>
    </row>
    <row r="31" spans="1:12" hidden="1">
      <c r="A31" s="23" t="s">
        <v>18</v>
      </c>
      <c r="B31" s="24">
        <f t="shared" ref="B31:H31" si="9">B32+B33+B34</f>
        <v>764.2</v>
      </c>
      <c r="C31" s="25">
        <f t="shared" si="9"/>
        <v>406.96999999999997</v>
      </c>
      <c r="D31" s="24">
        <f t="shared" si="9"/>
        <v>809.20999999999992</v>
      </c>
      <c r="E31" s="24">
        <f t="shared" si="9"/>
        <v>789.6</v>
      </c>
      <c r="F31" s="24">
        <f t="shared" si="9"/>
        <v>789.6</v>
      </c>
      <c r="G31" s="25"/>
      <c r="H31" s="24">
        <f t="shared" si="9"/>
        <v>343.23</v>
      </c>
      <c r="I31" s="89">
        <f t="shared" si="3"/>
        <v>0.43468844984802435</v>
      </c>
      <c r="J31" s="24">
        <f t="shared" si="4"/>
        <v>789.6</v>
      </c>
      <c r="K31" s="24"/>
      <c r="L31" s="26">
        <f>L32+L33+L34</f>
        <v>0</v>
      </c>
    </row>
    <row r="32" spans="1:12" hidden="1">
      <c r="A32" s="21" t="s">
        <v>10</v>
      </c>
      <c r="B32" s="27">
        <v>180.94</v>
      </c>
      <c r="C32" s="28">
        <v>35.270000000000003</v>
      </c>
      <c r="D32" s="27">
        <v>184.29</v>
      </c>
      <c r="E32" s="27">
        <v>206.33</v>
      </c>
      <c r="F32" s="27">
        <v>206.33</v>
      </c>
      <c r="G32" s="28">
        <v>14.31</v>
      </c>
      <c r="H32" s="27">
        <v>60.72</v>
      </c>
      <c r="I32" s="90">
        <f t="shared" si="3"/>
        <v>0.29428585276014152</v>
      </c>
      <c r="J32" s="27">
        <f t="shared" si="4"/>
        <v>206.33</v>
      </c>
      <c r="K32" s="27"/>
      <c r="L32" s="29">
        <f>F32-J32</f>
        <v>0</v>
      </c>
    </row>
    <row r="33" spans="1:12" hidden="1">
      <c r="A33" s="21" t="s">
        <v>11</v>
      </c>
      <c r="B33" s="27">
        <v>484.57</v>
      </c>
      <c r="C33" s="28">
        <v>370</v>
      </c>
      <c r="D33" s="27">
        <v>555.30999999999995</v>
      </c>
      <c r="E33" s="27">
        <v>484.57</v>
      </c>
      <c r="F33" s="27">
        <v>484.57</v>
      </c>
      <c r="G33" s="28">
        <v>168.88</v>
      </c>
      <c r="H33" s="27">
        <v>245.54</v>
      </c>
      <c r="I33" s="90">
        <f t="shared" si="3"/>
        <v>0.50671729574674451</v>
      </c>
      <c r="J33" s="27">
        <f t="shared" si="4"/>
        <v>484.57</v>
      </c>
      <c r="K33" s="27"/>
      <c r="L33" s="29">
        <f>F33-J33</f>
        <v>0</v>
      </c>
    </row>
    <row r="34" spans="1:12" hidden="1">
      <c r="A34" s="21" t="s">
        <v>12</v>
      </c>
      <c r="B34" s="27">
        <v>98.69</v>
      </c>
      <c r="C34" s="28">
        <v>1.7</v>
      </c>
      <c r="D34" s="27">
        <v>69.61</v>
      </c>
      <c r="E34" s="27">
        <v>98.7</v>
      </c>
      <c r="F34" s="27">
        <v>98.7</v>
      </c>
      <c r="G34" s="28">
        <v>1.07</v>
      </c>
      <c r="H34" s="27">
        <v>36.97</v>
      </c>
      <c r="I34" s="90">
        <f t="shared" si="3"/>
        <v>0.37456940222897667</v>
      </c>
      <c r="J34" s="27">
        <f t="shared" si="4"/>
        <v>98.7</v>
      </c>
      <c r="K34" s="27"/>
      <c r="L34" s="29">
        <f>F34-J34</f>
        <v>0</v>
      </c>
    </row>
    <row r="35" spans="1:12" hidden="1">
      <c r="A35" s="23" t="s">
        <v>19</v>
      </c>
      <c r="B35" s="24">
        <f t="shared" ref="B35:H35" si="10">B36+B37+B38</f>
        <v>978.81</v>
      </c>
      <c r="C35" s="25">
        <f t="shared" si="10"/>
        <v>328.25</v>
      </c>
      <c r="D35" s="24">
        <f t="shared" si="10"/>
        <v>779.31999999999994</v>
      </c>
      <c r="E35" s="24">
        <f t="shared" si="10"/>
        <v>1011.4000000000001</v>
      </c>
      <c r="F35" s="24">
        <f t="shared" si="10"/>
        <v>1011.4000000000001</v>
      </c>
      <c r="G35" s="25"/>
      <c r="H35" s="24">
        <f t="shared" si="10"/>
        <v>473.63</v>
      </c>
      <c r="I35" s="89">
        <f t="shared" si="3"/>
        <v>0.46829147716037173</v>
      </c>
      <c r="J35" s="24">
        <f t="shared" si="4"/>
        <v>1011.4000000000001</v>
      </c>
      <c r="K35" s="24"/>
      <c r="L35" s="26">
        <f>L36+L37+L38</f>
        <v>0</v>
      </c>
    </row>
    <row r="36" spans="1:12" hidden="1">
      <c r="A36" s="21" t="s">
        <v>10</v>
      </c>
      <c r="B36" s="27">
        <v>231.02</v>
      </c>
      <c r="C36" s="28">
        <v>55.87</v>
      </c>
      <c r="D36" s="27">
        <v>273.02999999999997</v>
      </c>
      <c r="E36" s="27">
        <v>263.61</v>
      </c>
      <c r="F36" s="27">
        <v>263.61</v>
      </c>
      <c r="G36" s="28">
        <v>38.520000000000003</v>
      </c>
      <c r="H36" s="27">
        <v>167.25</v>
      </c>
      <c r="I36" s="90">
        <f t="shared" si="3"/>
        <v>0.63445999772391026</v>
      </c>
      <c r="J36" s="27">
        <f t="shared" si="4"/>
        <v>263.61</v>
      </c>
      <c r="K36" s="27"/>
      <c r="L36" s="29">
        <f>F36-J36</f>
        <v>0</v>
      </c>
    </row>
    <row r="37" spans="1:12" hidden="1">
      <c r="A37" s="21" t="s">
        <v>11</v>
      </c>
      <c r="B37" s="27">
        <v>624.73</v>
      </c>
      <c r="C37" s="28">
        <v>270</v>
      </c>
      <c r="D37" s="27">
        <v>409.51</v>
      </c>
      <c r="E37" s="27">
        <v>624.72</v>
      </c>
      <c r="F37" s="27">
        <v>624.72</v>
      </c>
      <c r="G37" s="28">
        <v>177.79</v>
      </c>
      <c r="H37" s="27">
        <v>265.07</v>
      </c>
      <c r="I37" s="90">
        <f t="shared" si="3"/>
        <v>0.42430208733512609</v>
      </c>
      <c r="J37" s="27">
        <f t="shared" si="4"/>
        <v>624.72</v>
      </c>
      <c r="K37" s="27"/>
      <c r="L37" s="29">
        <f>F37-J37</f>
        <v>0</v>
      </c>
    </row>
    <row r="38" spans="1:12" hidden="1">
      <c r="A38" s="21" t="s">
        <v>12</v>
      </c>
      <c r="B38" s="27">
        <v>123.06</v>
      </c>
      <c r="C38" s="28">
        <v>2.38</v>
      </c>
      <c r="D38" s="27">
        <v>96.78</v>
      </c>
      <c r="E38" s="27">
        <v>123.07</v>
      </c>
      <c r="F38" s="27">
        <v>123.07</v>
      </c>
      <c r="G38" s="28">
        <v>0.96</v>
      </c>
      <c r="H38" s="27">
        <v>41.31</v>
      </c>
      <c r="I38" s="90">
        <f t="shared" si="3"/>
        <v>0.33566263102299509</v>
      </c>
      <c r="J38" s="27">
        <f t="shared" si="4"/>
        <v>123.07</v>
      </c>
      <c r="K38" s="27"/>
      <c r="L38" s="29">
        <f>F38-J38</f>
        <v>0</v>
      </c>
    </row>
    <row r="39" spans="1:12" hidden="1">
      <c r="A39" s="23" t="s">
        <v>20</v>
      </c>
      <c r="B39" s="24">
        <f t="shared" ref="B39:H39" si="11">B40+B41+B42</f>
        <v>1912.08</v>
      </c>
      <c r="C39" s="25">
        <f t="shared" si="11"/>
        <v>967.68999999999994</v>
      </c>
      <c r="D39" s="24">
        <f t="shared" si="11"/>
        <v>2168.0099999999998</v>
      </c>
      <c r="E39" s="24">
        <f t="shared" si="11"/>
        <v>1975.6999999999998</v>
      </c>
      <c r="F39" s="24">
        <f t="shared" si="11"/>
        <v>1975.6999999999998</v>
      </c>
      <c r="G39" s="25"/>
      <c r="H39" s="24">
        <f t="shared" si="11"/>
        <v>994.21</v>
      </c>
      <c r="I39" s="89">
        <f t="shared" si="3"/>
        <v>0.50321911221339277</v>
      </c>
      <c r="J39" s="24">
        <f t="shared" si="4"/>
        <v>1975.6999999999998</v>
      </c>
      <c r="K39" s="24"/>
      <c r="L39" s="26">
        <f>L40+L41+L42</f>
        <v>0</v>
      </c>
    </row>
    <row r="40" spans="1:12" hidden="1">
      <c r="A40" s="21" t="s">
        <v>10</v>
      </c>
      <c r="B40" s="27">
        <v>444.52</v>
      </c>
      <c r="C40" s="28">
        <v>110.56</v>
      </c>
      <c r="D40" s="27">
        <v>583.41999999999996</v>
      </c>
      <c r="E40" s="27">
        <v>508.14</v>
      </c>
      <c r="F40" s="27">
        <v>508.14</v>
      </c>
      <c r="G40" s="28">
        <v>55.58</v>
      </c>
      <c r="H40" s="27">
        <v>238.58</v>
      </c>
      <c r="I40" s="90">
        <f t="shared" si="3"/>
        <v>0.46951627504231119</v>
      </c>
      <c r="J40" s="27">
        <f t="shared" si="4"/>
        <v>508.14</v>
      </c>
      <c r="K40" s="27"/>
      <c r="L40" s="29">
        <f>F40-J40</f>
        <v>0</v>
      </c>
    </row>
    <row r="41" spans="1:12" hidden="1">
      <c r="A41" s="21" t="s">
        <v>11</v>
      </c>
      <c r="B41" s="27">
        <v>1192.79</v>
      </c>
      <c r="C41" s="28">
        <v>850</v>
      </c>
      <c r="D41" s="27">
        <v>1268.57</v>
      </c>
      <c r="E41" s="27">
        <v>1192.79</v>
      </c>
      <c r="F41" s="27">
        <v>1192.79</v>
      </c>
      <c r="G41" s="28">
        <v>424.4</v>
      </c>
      <c r="H41" s="27">
        <v>624.26</v>
      </c>
      <c r="I41" s="90">
        <f t="shared" si="3"/>
        <v>0.52336119518104618</v>
      </c>
      <c r="J41" s="27">
        <f t="shared" si="4"/>
        <v>1192.79</v>
      </c>
      <c r="K41" s="27"/>
      <c r="L41" s="29">
        <f>F41-J41</f>
        <v>0</v>
      </c>
    </row>
    <row r="42" spans="1:12" hidden="1">
      <c r="A42" s="21" t="s">
        <v>12</v>
      </c>
      <c r="B42" s="27">
        <v>274.77</v>
      </c>
      <c r="C42" s="28">
        <v>7.13</v>
      </c>
      <c r="D42" s="27">
        <v>316.02</v>
      </c>
      <c r="E42" s="27">
        <v>274.77</v>
      </c>
      <c r="F42" s="27">
        <v>274.77</v>
      </c>
      <c r="G42" s="28">
        <v>3.48</v>
      </c>
      <c r="H42" s="27">
        <v>131.37</v>
      </c>
      <c r="I42" s="90">
        <f t="shared" si="3"/>
        <v>0.47810896386068352</v>
      </c>
      <c r="J42" s="27">
        <f t="shared" si="4"/>
        <v>274.77</v>
      </c>
      <c r="K42" s="27"/>
      <c r="L42" s="29">
        <f>F42-J42</f>
        <v>0</v>
      </c>
    </row>
    <row r="43" spans="1:12" hidden="1">
      <c r="A43" s="23" t="s">
        <v>21</v>
      </c>
      <c r="B43" s="24">
        <f t="shared" ref="B43:H43" si="12">B44+B45+B46</f>
        <v>3937.27</v>
      </c>
      <c r="C43" s="25">
        <f t="shared" si="12"/>
        <v>776.14</v>
      </c>
      <c r="D43" s="24">
        <f t="shared" si="12"/>
        <v>2213.56</v>
      </c>
      <c r="E43" s="24">
        <f t="shared" si="12"/>
        <v>3168.3</v>
      </c>
      <c r="F43" s="24">
        <f t="shared" si="12"/>
        <v>3168.3</v>
      </c>
      <c r="G43" s="25"/>
      <c r="H43" s="24">
        <f t="shared" si="12"/>
        <v>1127</v>
      </c>
      <c r="I43" s="89">
        <f t="shared" si="3"/>
        <v>0.35571126471609377</v>
      </c>
      <c r="J43" s="24">
        <f>J44+J45+J46</f>
        <v>3038.3</v>
      </c>
      <c r="K43" s="24"/>
      <c r="L43" s="26">
        <f>L44+L45+L46</f>
        <v>130</v>
      </c>
    </row>
    <row r="44" spans="1:12" hidden="1">
      <c r="A44" s="21" t="s">
        <v>10</v>
      </c>
      <c r="B44" s="27">
        <v>691.2</v>
      </c>
      <c r="C44" s="28">
        <v>109.51</v>
      </c>
      <c r="D44" s="27">
        <v>568.04</v>
      </c>
      <c r="E44" s="27">
        <v>822.21</v>
      </c>
      <c r="F44" s="27">
        <v>822.21</v>
      </c>
      <c r="G44" s="28">
        <v>53.69</v>
      </c>
      <c r="H44" s="27">
        <v>235.14</v>
      </c>
      <c r="I44" s="90">
        <f t="shared" si="3"/>
        <v>0.28598533221439776</v>
      </c>
      <c r="J44" s="27">
        <f t="shared" si="4"/>
        <v>822.21</v>
      </c>
      <c r="K44" s="27"/>
      <c r="L44" s="29">
        <f>F44-J44</f>
        <v>0</v>
      </c>
    </row>
    <row r="45" spans="1:12" hidden="1">
      <c r="A45" s="21" t="s">
        <v>11</v>
      </c>
      <c r="B45" s="27">
        <v>2934.14</v>
      </c>
      <c r="C45" s="28">
        <v>660</v>
      </c>
      <c r="D45" s="27">
        <f>1267.96+122.3</f>
        <v>1390.26</v>
      </c>
      <c r="E45" s="27">
        <v>2034.15</v>
      </c>
      <c r="F45" s="27">
        <v>2034.15</v>
      </c>
      <c r="G45" s="28">
        <v>379.3</v>
      </c>
      <c r="H45" s="27">
        <v>717.6</v>
      </c>
      <c r="I45" s="90">
        <f t="shared" si="3"/>
        <v>0.35277634392743895</v>
      </c>
      <c r="J45" s="27">
        <f>E45-130</f>
        <v>1904.15</v>
      </c>
      <c r="K45" s="27"/>
      <c r="L45" s="29">
        <f>F45-J45</f>
        <v>130</v>
      </c>
    </row>
    <row r="46" spans="1:12" hidden="1">
      <c r="A46" s="21" t="s">
        <v>12</v>
      </c>
      <c r="B46" s="27">
        <v>311.93</v>
      </c>
      <c r="C46" s="28">
        <v>6.63</v>
      </c>
      <c r="D46" s="27">
        <v>255.26</v>
      </c>
      <c r="E46" s="27">
        <v>311.94</v>
      </c>
      <c r="F46" s="27">
        <v>311.94</v>
      </c>
      <c r="G46" s="28">
        <v>4.8600000000000003</v>
      </c>
      <c r="H46" s="27">
        <v>174.26</v>
      </c>
      <c r="I46" s="90">
        <f t="shared" si="3"/>
        <v>0.5586330704622684</v>
      </c>
      <c r="J46" s="27">
        <f t="shared" si="4"/>
        <v>311.94</v>
      </c>
      <c r="K46" s="27"/>
      <c r="L46" s="29">
        <f>F46-J46</f>
        <v>0</v>
      </c>
    </row>
    <row r="47" spans="1:12" hidden="1">
      <c r="A47" s="23" t="s">
        <v>22</v>
      </c>
      <c r="B47" s="24">
        <f t="shared" ref="B47:H47" si="13">B48+B49+B50</f>
        <v>1661.35</v>
      </c>
      <c r="C47" s="25">
        <f t="shared" si="13"/>
        <v>780.1</v>
      </c>
      <c r="D47" s="24">
        <f t="shared" si="13"/>
        <v>1603.4</v>
      </c>
      <c r="E47" s="24">
        <f t="shared" si="13"/>
        <v>1716.6</v>
      </c>
      <c r="F47" s="24">
        <f t="shared" si="13"/>
        <v>1716.6</v>
      </c>
      <c r="G47" s="25"/>
      <c r="H47" s="24">
        <f t="shared" si="13"/>
        <v>856.71</v>
      </c>
      <c r="I47" s="89">
        <f t="shared" si="3"/>
        <v>0.49907375043691021</v>
      </c>
      <c r="J47" s="24">
        <f t="shared" si="4"/>
        <v>1716.6</v>
      </c>
      <c r="K47" s="24"/>
      <c r="L47" s="26">
        <f>L48+L49+L50</f>
        <v>0</v>
      </c>
    </row>
    <row r="48" spans="1:12" hidden="1">
      <c r="A48" s="21" t="s">
        <v>10</v>
      </c>
      <c r="B48" s="27">
        <v>296.14</v>
      </c>
      <c r="C48" s="28">
        <v>64.239999999999995</v>
      </c>
      <c r="D48" s="27">
        <v>337.4</v>
      </c>
      <c r="E48" s="27">
        <v>351.39</v>
      </c>
      <c r="F48" s="27">
        <v>351.39</v>
      </c>
      <c r="G48" s="28">
        <v>28.24</v>
      </c>
      <c r="H48" s="27">
        <v>122.62</v>
      </c>
      <c r="I48" s="90">
        <f t="shared" si="3"/>
        <v>0.34895699934545665</v>
      </c>
      <c r="J48" s="27">
        <f t="shared" si="4"/>
        <v>351.39</v>
      </c>
      <c r="K48" s="27"/>
      <c r="L48" s="29">
        <f>F48-J48</f>
        <v>0</v>
      </c>
    </row>
    <row r="49" spans="1:12" hidden="1">
      <c r="A49" s="21" t="s">
        <v>11</v>
      </c>
      <c r="B49" s="27">
        <v>1192.79</v>
      </c>
      <c r="C49" s="28">
        <v>710</v>
      </c>
      <c r="D49" s="27">
        <v>1045.06</v>
      </c>
      <c r="E49" s="27">
        <v>1192.79</v>
      </c>
      <c r="F49" s="27">
        <v>1192.79</v>
      </c>
      <c r="G49" s="28">
        <v>444.7</v>
      </c>
      <c r="H49" s="27">
        <v>653.03</v>
      </c>
      <c r="I49" s="90">
        <f t="shared" si="3"/>
        <v>0.54748111570351865</v>
      </c>
      <c r="J49" s="27">
        <f t="shared" si="4"/>
        <v>1192.79</v>
      </c>
      <c r="K49" s="27"/>
      <c r="L49" s="29">
        <f>F49-J49</f>
        <v>0</v>
      </c>
    </row>
    <row r="50" spans="1:12" hidden="1">
      <c r="A50" s="21" t="s">
        <v>12</v>
      </c>
      <c r="B50" s="27">
        <v>172.42</v>
      </c>
      <c r="C50" s="28">
        <v>5.86</v>
      </c>
      <c r="D50" s="27">
        <f>239.36-18.42</f>
        <v>220.94</v>
      </c>
      <c r="E50" s="27">
        <v>172.42</v>
      </c>
      <c r="F50" s="27">
        <v>172.42</v>
      </c>
      <c r="G50" s="28">
        <v>2.2400000000000002</v>
      </c>
      <c r="H50" s="27">
        <v>81.06</v>
      </c>
      <c r="I50" s="90">
        <f t="shared" si="3"/>
        <v>0.47013107528128995</v>
      </c>
      <c r="J50" s="27">
        <f t="shared" si="4"/>
        <v>172.42</v>
      </c>
      <c r="K50" s="27"/>
      <c r="L50" s="29">
        <f>F50-J50</f>
        <v>0</v>
      </c>
    </row>
    <row r="51" spans="1:12" hidden="1">
      <c r="A51" s="23" t="s">
        <v>23</v>
      </c>
      <c r="B51" s="24">
        <f t="shared" ref="B51:H51" si="14">B52+B53+B54</f>
        <v>1580.69</v>
      </c>
      <c r="C51" s="25">
        <f t="shared" si="14"/>
        <v>756.0100000000001</v>
      </c>
      <c r="D51" s="24">
        <f t="shared" si="14"/>
        <v>1605.1200000000001</v>
      </c>
      <c r="E51" s="24">
        <f t="shared" si="14"/>
        <v>1633.3</v>
      </c>
      <c r="F51" s="24">
        <f t="shared" si="14"/>
        <v>1633.3</v>
      </c>
      <c r="G51" s="25"/>
      <c r="H51" s="24">
        <f t="shared" si="14"/>
        <v>803.2</v>
      </c>
      <c r="I51" s="89">
        <f t="shared" si="3"/>
        <v>0.49176513806404215</v>
      </c>
      <c r="J51" s="24">
        <f t="shared" si="4"/>
        <v>1633.3</v>
      </c>
      <c r="K51" s="24"/>
      <c r="L51" s="26">
        <f>L52+L53+L54</f>
        <v>0</v>
      </c>
    </row>
    <row r="52" spans="1:12" hidden="1">
      <c r="A52" s="21" t="s">
        <v>10</v>
      </c>
      <c r="B52" s="27">
        <v>356.66</v>
      </c>
      <c r="C52" s="28">
        <v>70.94</v>
      </c>
      <c r="D52" s="27">
        <v>372.5</v>
      </c>
      <c r="E52" s="27">
        <v>409.27</v>
      </c>
      <c r="F52" s="27">
        <v>409.27</v>
      </c>
      <c r="G52" s="28">
        <v>34.54</v>
      </c>
      <c r="H52" s="27">
        <v>150.88</v>
      </c>
      <c r="I52" s="90">
        <f t="shared" si="3"/>
        <v>0.36865638820338653</v>
      </c>
      <c r="J52" s="27">
        <f t="shared" si="4"/>
        <v>409.27</v>
      </c>
      <c r="K52" s="27"/>
      <c r="L52" s="29">
        <f>F52-J52</f>
        <v>0</v>
      </c>
    </row>
    <row r="53" spans="1:12" hidden="1">
      <c r="A53" s="21" t="s">
        <v>11</v>
      </c>
      <c r="B53" s="27">
        <v>1043.69</v>
      </c>
      <c r="C53" s="28">
        <v>680</v>
      </c>
      <c r="D53" s="27">
        <v>1024.45</v>
      </c>
      <c r="E53" s="27">
        <v>1043.69</v>
      </c>
      <c r="F53" s="27">
        <v>1043.69</v>
      </c>
      <c r="G53" s="28">
        <v>381.13</v>
      </c>
      <c r="H53" s="27">
        <v>556.76</v>
      </c>
      <c r="I53" s="90">
        <f t="shared" si="3"/>
        <v>0.53345342007684271</v>
      </c>
      <c r="J53" s="27">
        <f t="shared" si="4"/>
        <v>1043.69</v>
      </c>
      <c r="K53" s="27"/>
      <c r="L53" s="29">
        <f>F53-J53</f>
        <v>0</v>
      </c>
    </row>
    <row r="54" spans="1:12" hidden="1">
      <c r="A54" s="21" t="s">
        <v>12</v>
      </c>
      <c r="B54" s="27">
        <v>180.34</v>
      </c>
      <c r="C54" s="28">
        <v>5.07</v>
      </c>
      <c r="D54" s="27">
        <v>208.17</v>
      </c>
      <c r="E54" s="27">
        <v>180.34</v>
      </c>
      <c r="F54" s="27">
        <v>180.34</v>
      </c>
      <c r="G54" s="28">
        <v>2.62</v>
      </c>
      <c r="H54" s="27">
        <v>95.56</v>
      </c>
      <c r="I54" s="90">
        <f t="shared" si="3"/>
        <v>0.5298879893534435</v>
      </c>
      <c r="J54" s="27">
        <f t="shared" si="4"/>
        <v>180.34</v>
      </c>
      <c r="K54" s="27"/>
      <c r="L54" s="29">
        <f>F54-J54</f>
        <v>0</v>
      </c>
    </row>
    <row r="55" spans="1:12" hidden="1">
      <c r="A55" s="23" t="s">
        <v>24</v>
      </c>
      <c r="B55" s="24">
        <f t="shared" ref="B55:H55" si="15">B56+B57+B58</f>
        <v>858.01</v>
      </c>
      <c r="C55" s="25">
        <f t="shared" si="15"/>
        <v>297.83</v>
      </c>
      <c r="D55" s="24">
        <f t="shared" si="15"/>
        <v>646.74</v>
      </c>
      <c r="E55" s="24">
        <f t="shared" si="15"/>
        <v>883.79</v>
      </c>
      <c r="F55" s="24">
        <f t="shared" si="15"/>
        <v>883.79</v>
      </c>
      <c r="G55" s="25"/>
      <c r="H55" s="24">
        <f t="shared" si="15"/>
        <v>337.95</v>
      </c>
      <c r="I55" s="89">
        <f t="shared" si="3"/>
        <v>0.38238721868317133</v>
      </c>
      <c r="J55" s="25">
        <f t="shared" si="4"/>
        <v>883.79</v>
      </c>
      <c r="K55" s="25"/>
      <c r="L55" s="26">
        <f>L56+L57+L58</f>
        <v>0</v>
      </c>
    </row>
    <row r="56" spans="1:12" hidden="1">
      <c r="A56" s="21" t="s">
        <v>10</v>
      </c>
      <c r="B56" s="27">
        <v>214.12</v>
      </c>
      <c r="C56" s="28">
        <v>47.3</v>
      </c>
      <c r="D56" s="27">
        <v>247.51</v>
      </c>
      <c r="E56" s="27">
        <v>242.62</v>
      </c>
      <c r="F56" s="27">
        <f>E56</f>
        <v>242.62</v>
      </c>
      <c r="G56" s="28">
        <v>20.75</v>
      </c>
      <c r="H56" s="27">
        <v>89.87</v>
      </c>
      <c r="I56" s="90">
        <f t="shared" si="3"/>
        <v>0.37041464017805625</v>
      </c>
      <c r="J56" s="27">
        <f t="shared" si="4"/>
        <v>242.62</v>
      </c>
      <c r="K56" s="27"/>
      <c r="L56" s="29">
        <f>F56-J56</f>
        <v>0</v>
      </c>
    </row>
    <row r="57" spans="1:12" hidden="1">
      <c r="A57" s="21" t="s">
        <v>11</v>
      </c>
      <c r="B57" s="27">
        <v>459.23</v>
      </c>
      <c r="C57" s="28">
        <v>250</v>
      </c>
      <c r="D57" s="27">
        <v>377.38</v>
      </c>
      <c r="E57" s="27">
        <v>456.51</v>
      </c>
      <c r="F57" s="27">
        <f>E57</f>
        <v>456.51</v>
      </c>
      <c r="G57" s="28">
        <v>135.69999999999999</v>
      </c>
      <c r="H57" s="27">
        <v>202.32</v>
      </c>
      <c r="I57" s="90">
        <f t="shared" si="3"/>
        <v>0.44318853913386341</v>
      </c>
      <c r="J57" s="27">
        <f t="shared" si="4"/>
        <v>456.51</v>
      </c>
      <c r="K57" s="27"/>
      <c r="L57" s="29">
        <f>F57-J57</f>
        <v>0</v>
      </c>
    </row>
    <row r="58" spans="1:12" hidden="1">
      <c r="A58" s="21" t="s">
        <v>12</v>
      </c>
      <c r="B58" s="27">
        <v>184.66</v>
      </c>
      <c r="C58" s="28">
        <v>0.53</v>
      </c>
      <c r="D58" s="27">
        <v>21.85</v>
      </c>
      <c r="E58" s="27">
        <v>184.66</v>
      </c>
      <c r="F58" s="27">
        <f>E58</f>
        <v>184.66</v>
      </c>
      <c r="G58" s="28">
        <v>0.2</v>
      </c>
      <c r="H58" s="27">
        <v>45.76</v>
      </c>
      <c r="I58" s="90">
        <f t="shared" si="3"/>
        <v>0.24780678002815987</v>
      </c>
      <c r="J58" s="27">
        <f t="shared" si="4"/>
        <v>184.66</v>
      </c>
      <c r="K58" s="27"/>
      <c r="L58" s="29">
        <f>F58-J58</f>
        <v>0</v>
      </c>
    </row>
    <row r="59" spans="1:12" hidden="1">
      <c r="A59" s="23" t="s">
        <v>25</v>
      </c>
      <c r="B59" s="24">
        <f t="shared" ref="B59:H59" si="16">B60+B61+B62</f>
        <v>1138.43</v>
      </c>
      <c r="C59" s="25">
        <f t="shared" si="16"/>
        <v>377.65</v>
      </c>
      <c r="D59" s="24">
        <f t="shared" si="16"/>
        <v>855.84</v>
      </c>
      <c r="E59" s="24">
        <f t="shared" si="16"/>
        <v>1101.5</v>
      </c>
      <c r="F59" s="24">
        <f t="shared" si="16"/>
        <v>1101.5</v>
      </c>
      <c r="G59" s="25"/>
      <c r="H59" s="24">
        <f t="shared" si="16"/>
        <v>400.81</v>
      </c>
      <c r="I59" s="89">
        <f t="shared" si="3"/>
        <v>0.36387653200181569</v>
      </c>
      <c r="J59" s="24">
        <f t="shared" si="4"/>
        <v>1101.5</v>
      </c>
      <c r="K59" s="24"/>
      <c r="L59" s="26">
        <f>L60+L61+L62</f>
        <v>0</v>
      </c>
    </row>
    <row r="60" spans="1:12" hidden="1">
      <c r="A60" s="21" t="s">
        <v>10</v>
      </c>
      <c r="B60" s="27">
        <v>252.52</v>
      </c>
      <c r="C60" s="28">
        <v>55.87</v>
      </c>
      <c r="D60" s="27">
        <v>297.13</v>
      </c>
      <c r="E60" s="27">
        <v>290.41000000000003</v>
      </c>
      <c r="F60" s="27">
        <f>E60</f>
        <v>290.41000000000003</v>
      </c>
      <c r="G60" s="28">
        <v>24.85</v>
      </c>
      <c r="H60" s="27">
        <v>106.21</v>
      </c>
      <c r="I60" s="90">
        <f t="shared" si="3"/>
        <v>0.36572432078785161</v>
      </c>
      <c r="J60" s="27">
        <f t="shared" si="4"/>
        <v>290.41000000000003</v>
      </c>
      <c r="K60" s="27"/>
      <c r="L60" s="29">
        <f>F60-J60</f>
        <v>0</v>
      </c>
    </row>
    <row r="61" spans="1:12" hidden="1">
      <c r="A61" s="21" t="s">
        <v>11</v>
      </c>
      <c r="B61" s="27">
        <v>803.65</v>
      </c>
      <c r="C61" s="28">
        <v>320</v>
      </c>
      <c r="D61" s="27">
        <v>486.06</v>
      </c>
      <c r="E61" s="27">
        <v>728.84</v>
      </c>
      <c r="F61" s="27">
        <f>E61</f>
        <v>728.84</v>
      </c>
      <c r="G61" s="28">
        <v>179.2</v>
      </c>
      <c r="H61" s="27">
        <v>261.17</v>
      </c>
      <c r="I61" s="90">
        <f t="shared" si="3"/>
        <v>0.35833653476757588</v>
      </c>
      <c r="J61" s="27">
        <f t="shared" si="4"/>
        <v>728.84</v>
      </c>
      <c r="K61" s="27"/>
      <c r="L61" s="29">
        <f>F61-J61</f>
        <v>0</v>
      </c>
    </row>
    <row r="62" spans="1:12" hidden="1">
      <c r="A62" s="21" t="s">
        <v>12</v>
      </c>
      <c r="B62" s="27">
        <v>82.26</v>
      </c>
      <c r="C62" s="28">
        <v>1.78</v>
      </c>
      <c r="D62" s="27">
        <v>72.650000000000006</v>
      </c>
      <c r="E62" s="27">
        <v>82.25</v>
      </c>
      <c r="F62" s="27">
        <f>E62</f>
        <v>82.25</v>
      </c>
      <c r="G62" s="28">
        <v>0.99</v>
      </c>
      <c r="H62" s="27">
        <v>33.43</v>
      </c>
      <c r="I62" s="90">
        <f t="shared" si="3"/>
        <v>0.4064437689969605</v>
      </c>
      <c r="J62" s="27">
        <f t="shared" si="4"/>
        <v>82.25</v>
      </c>
      <c r="K62" s="27"/>
      <c r="L62" s="29">
        <f>F62-J62</f>
        <v>0</v>
      </c>
    </row>
    <row r="63" spans="1:12" hidden="1">
      <c r="A63" s="23" t="s">
        <v>26</v>
      </c>
      <c r="B63" s="24">
        <f t="shared" ref="B63:H63" si="17">B64+B65+B66</f>
        <v>1464.1</v>
      </c>
      <c r="C63" s="25">
        <f t="shared" si="17"/>
        <v>663.11</v>
      </c>
      <c r="D63" s="24">
        <f t="shared" si="17"/>
        <v>1385.4099999999999</v>
      </c>
      <c r="E63" s="24">
        <f t="shared" si="17"/>
        <v>1512.8</v>
      </c>
      <c r="F63" s="24">
        <f t="shared" si="17"/>
        <v>1512.8</v>
      </c>
      <c r="G63" s="25"/>
      <c r="H63" s="24">
        <f t="shared" si="17"/>
        <v>764.94</v>
      </c>
      <c r="I63" s="89">
        <f t="shared" si="3"/>
        <v>0.50564516129032266</v>
      </c>
      <c r="J63" s="26">
        <f>J64+J65+J66</f>
        <v>1512.8</v>
      </c>
      <c r="K63" s="26"/>
      <c r="L63" s="26">
        <f>L64+L65+L66</f>
        <v>0</v>
      </c>
    </row>
    <row r="64" spans="1:12" hidden="1">
      <c r="A64" s="21" t="s">
        <v>10</v>
      </c>
      <c r="B64" s="27">
        <v>329.32</v>
      </c>
      <c r="C64" s="28">
        <v>47.79</v>
      </c>
      <c r="D64" s="27">
        <v>258.43</v>
      </c>
      <c r="E64" s="27">
        <v>378.01</v>
      </c>
      <c r="F64" s="27">
        <f>E64</f>
        <v>378.01</v>
      </c>
      <c r="G64" s="28">
        <v>26.35</v>
      </c>
      <c r="H64" s="27">
        <v>118.41</v>
      </c>
      <c r="I64" s="90">
        <f t="shared" si="3"/>
        <v>0.31324568133118169</v>
      </c>
      <c r="J64" s="27">
        <f t="shared" si="4"/>
        <v>378.01</v>
      </c>
      <c r="K64" s="27"/>
      <c r="L64" s="29">
        <f>F64-J64</f>
        <v>0</v>
      </c>
    </row>
    <row r="65" spans="1:12" hidden="1">
      <c r="A65" s="21" t="s">
        <v>11</v>
      </c>
      <c r="B65" s="27">
        <v>987.03</v>
      </c>
      <c r="C65" s="28">
        <v>610</v>
      </c>
      <c r="D65" s="27">
        <v>909.65</v>
      </c>
      <c r="E65" s="27">
        <v>987.04</v>
      </c>
      <c r="F65" s="27">
        <f>E65</f>
        <v>987.04</v>
      </c>
      <c r="G65" s="28">
        <v>378.46</v>
      </c>
      <c r="H65" s="27">
        <v>554.47</v>
      </c>
      <c r="I65" s="90">
        <f t="shared" si="3"/>
        <v>0.56175028367644675</v>
      </c>
      <c r="J65" s="27">
        <f t="shared" si="4"/>
        <v>987.04</v>
      </c>
      <c r="K65" s="27"/>
      <c r="L65" s="29">
        <f>F65-J65</f>
        <v>0</v>
      </c>
    </row>
    <row r="66" spans="1:12" hidden="1">
      <c r="A66" s="21" t="s">
        <v>12</v>
      </c>
      <c r="B66" s="27">
        <v>147.75</v>
      </c>
      <c r="C66" s="28">
        <v>5.32</v>
      </c>
      <c r="D66" s="27">
        <v>217.33</v>
      </c>
      <c r="E66" s="27">
        <v>147.75</v>
      </c>
      <c r="F66" s="27">
        <f>E66</f>
        <v>147.75</v>
      </c>
      <c r="G66" s="28">
        <v>2.62</v>
      </c>
      <c r="H66" s="27">
        <v>92.06</v>
      </c>
      <c r="I66" s="90">
        <f t="shared" si="3"/>
        <v>0.62307952622673435</v>
      </c>
      <c r="J66" s="27">
        <f t="shared" si="4"/>
        <v>147.75</v>
      </c>
      <c r="K66" s="27"/>
      <c r="L66" s="29">
        <f>F66-J66</f>
        <v>0</v>
      </c>
    </row>
    <row r="67" spans="1:12" hidden="1">
      <c r="A67" s="23" t="s">
        <v>27</v>
      </c>
      <c r="B67" s="24">
        <f t="shared" ref="B67:H67" si="18">B68+B69+B70</f>
        <v>1678.9299999999998</v>
      </c>
      <c r="C67" s="25">
        <f t="shared" si="18"/>
        <v>832.37</v>
      </c>
      <c r="D67" s="24">
        <f t="shared" si="18"/>
        <v>1646.6299999999999</v>
      </c>
      <c r="E67" s="24">
        <f t="shared" si="18"/>
        <v>1734.8</v>
      </c>
      <c r="F67" s="24">
        <f t="shared" si="18"/>
        <v>1734.8</v>
      </c>
      <c r="G67" s="25"/>
      <c r="H67" s="24">
        <f t="shared" si="18"/>
        <v>947.51</v>
      </c>
      <c r="I67" s="89">
        <f t="shared" si="3"/>
        <v>0.54617823380216746</v>
      </c>
      <c r="J67" s="24">
        <f t="shared" si="4"/>
        <v>1734.8</v>
      </c>
      <c r="K67" s="24"/>
      <c r="L67" s="26">
        <f>L68+L69+L70</f>
        <v>0</v>
      </c>
    </row>
    <row r="68" spans="1:12" hidden="1">
      <c r="A68" s="21" t="s">
        <v>10</v>
      </c>
      <c r="B68" s="27">
        <v>285.08</v>
      </c>
      <c r="C68" s="28">
        <v>68.45</v>
      </c>
      <c r="D68" s="27">
        <v>344.25</v>
      </c>
      <c r="E68" s="27">
        <v>340.96</v>
      </c>
      <c r="F68" s="27">
        <f>E68</f>
        <v>340.96</v>
      </c>
      <c r="G68" s="28">
        <v>35.42</v>
      </c>
      <c r="H68" s="27">
        <v>190.26</v>
      </c>
      <c r="I68" s="90">
        <f t="shared" si="3"/>
        <v>0.55801267010793054</v>
      </c>
      <c r="J68" s="27">
        <f t="shared" si="4"/>
        <v>340.96</v>
      </c>
      <c r="K68" s="27"/>
      <c r="L68" s="29">
        <f>F68-J68</f>
        <v>0</v>
      </c>
    </row>
    <row r="69" spans="1:12" hidden="1">
      <c r="A69" s="21" t="s">
        <v>11</v>
      </c>
      <c r="B69" s="27">
        <v>1192.79</v>
      </c>
      <c r="C69" s="28">
        <v>760</v>
      </c>
      <c r="D69" s="27">
        <v>1142.05</v>
      </c>
      <c r="E69" s="27">
        <v>1192.79</v>
      </c>
      <c r="F69" s="27">
        <f>E69</f>
        <v>1192.79</v>
      </c>
      <c r="G69" s="28">
        <v>437.2</v>
      </c>
      <c r="H69" s="27">
        <v>651.84</v>
      </c>
      <c r="I69" s="90">
        <f t="shared" si="3"/>
        <v>0.54648345475733373</v>
      </c>
      <c r="J69" s="27">
        <f t="shared" si="4"/>
        <v>1192.79</v>
      </c>
      <c r="K69" s="27"/>
      <c r="L69" s="29">
        <f>F69-J69</f>
        <v>0</v>
      </c>
    </row>
    <row r="70" spans="1:12" hidden="1">
      <c r="A70" s="21" t="s">
        <v>12</v>
      </c>
      <c r="B70" s="27">
        <v>201.06</v>
      </c>
      <c r="C70" s="28">
        <v>3.92</v>
      </c>
      <c r="D70" s="27">
        <v>160.33000000000001</v>
      </c>
      <c r="E70" s="27">
        <v>201.05</v>
      </c>
      <c r="F70" s="27">
        <f>E70</f>
        <v>201.05</v>
      </c>
      <c r="G70" s="28">
        <v>2.4700000000000002</v>
      </c>
      <c r="H70" s="27">
        <v>105.41</v>
      </c>
      <c r="I70" s="90">
        <f t="shared" si="3"/>
        <v>0.52429743844814714</v>
      </c>
      <c r="J70" s="27">
        <f t="shared" si="4"/>
        <v>201.05</v>
      </c>
      <c r="K70" s="27"/>
      <c r="L70" s="29">
        <f>F70-J70</f>
        <v>0</v>
      </c>
    </row>
    <row r="71" spans="1:12" hidden="1">
      <c r="A71" s="23" t="s">
        <v>28</v>
      </c>
      <c r="B71" s="24">
        <f t="shared" ref="B71:H71" si="19">B72+B73+B74</f>
        <v>1105.19</v>
      </c>
      <c r="C71" s="25">
        <f t="shared" si="19"/>
        <v>476.23999999999995</v>
      </c>
      <c r="D71" s="24">
        <f t="shared" si="19"/>
        <v>956.16000000000008</v>
      </c>
      <c r="E71" s="24">
        <f t="shared" si="19"/>
        <v>1142</v>
      </c>
      <c r="F71" s="24">
        <f t="shared" si="19"/>
        <v>1142</v>
      </c>
      <c r="G71" s="25"/>
      <c r="H71" s="24">
        <f t="shared" si="19"/>
        <v>504.63</v>
      </c>
      <c r="I71" s="89">
        <f t="shared" si="3"/>
        <v>0.44188266199649739</v>
      </c>
      <c r="J71" s="24">
        <f t="shared" si="4"/>
        <v>1142</v>
      </c>
      <c r="K71" s="24"/>
      <c r="L71" s="26">
        <f>L72+L73+L74</f>
        <v>0</v>
      </c>
    </row>
    <row r="72" spans="1:12" hidden="1">
      <c r="A72" s="21" t="s">
        <v>10</v>
      </c>
      <c r="B72" s="27">
        <v>274.02</v>
      </c>
      <c r="C72" s="28">
        <v>43.71</v>
      </c>
      <c r="D72" s="27">
        <v>198.74</v>
      </c>
      <c r="E72" s="27">
        <v>310.82</v>
      </c>
      <c r="F72" s="27">
        <f>E72</f>
        <v>310.82</v>
      </c>
      <c r="G72" s="28">
        <v>25.83</v>
      </c>
      <c r="H72" s="27">
        <v>138.94</v>
      </c>
      <c r="I72" s="90">
        <f t="shared" si="3"/>
        <v>0.44701113184479763</v>
      </c>
      <c r="J72" s="27">
        <f t="shared" si="4"/>
        <v>310.82</v>
      </c>
      <c r="K72" s="27"/>
      <c r="L72" s="29">
        <f>F72-J72</f>
        <v>0</v>
      </c>
    </row>
    <row r="73" spans="1:12" hidden="1">
      <c r="A73" s="21" t="s">
        <v>11</v>
      </c>
      <c r="B73" s="27">
        <v>670.94</v>
      </c>
      <c r="C73" s="28">
        <v>430</v>
      </c>
      <c r="D73" s="27">
        <v>654.45000000000005</v>
      </c>
      <c r="E73" s="27">
        <v>670.95</v>
      </c>
      <c r="F73" s="27">
        <f>E73</f>
        <v>670.95</v>
      </c>
      <c r="G73" s="28">
        <v>211.47</v>
      </c>
      <c r="H73" s="27">
        <v>315.29000000000002</v>
      </c>
      <c r="I73" s="90">
        <f t="shared" si="3"/>
        <v>0.4699157910425516</v>
      </c>
      <c r="J73" s="27">
        <f t="shared" si="4"/>
        <v>670.95</v>
      </c>
      <c r="K73" s="27"/>
      <c r="L73" s="29">
        <f>F73-J73</f>
        <v>0</v>
      </c>
    </row>
    <row r="74" spans="1:12" hidden="1">
      <c r="A74" s="21" t="s">
        <v>12</v>
      </c>
      <c r="B74" s="27">
        <v>160.22999999999999</v>
      </c>
      <c r="C74" s="28">
        <v>2.5299999999999998</v>
      </c>
      <c r="D74" s="27">
        <v>102.97</v>
      </c>
      <c r="E74" s="27">
        <v>160.22999999999999</v>
      </c>
      <c r="F74" s="27">
        <f>E74</f>
        <v>160.22999999999999</v>
      </c>
      <c r="G74" s="28">
        <v>1.18</v>
      </c>
      <c r="H74" s="27">
        <v>50.4</v>
      </c>
      <c r="I74" s="90">
        <f t="shared" si="3"/>
        <v>0.31454783748361731</v>
      </c>
      <c r="J74" s="27">
        <f t="shared" si="4"/>
        <v>160.22999999999999</v>
      </c>
      <c r="K74" s="27"/>
      <c r="L74" s="29">
        <f>F74-J74</f>
        <v>0</v>
      </c>
    </row>
    <row r="75" spans="1:12" hidden="1">
      <c r="A75" s="23" t="s">
        <v>83</v>
      </c>
      <c r="B75" s="24">
        <f t="shared" ref="B75:H75" si="20">B76+B77+B78</f>
        <v>1750.5</v>
      </c>
      <c r="C75" s="25">
        <f t="shared" si="20"/>
        <v>683.27</v>
      </c>
      <c r="D75" s="24">
        <f t="shared" si="20"/>
        <v>1335.4299999999998</v>
      </c>
      <c r="E75" s="24">
        <f t="shared" si="20"/>
        <v>1773.81</v>
      </c>
      <c r="F75" s="24">
        <f t="shared" si="20"/>
        <v>1773.81</v>
      </c>
      <c r="G75" s="25"/>
      <c r="H75" s="24">
        <f t="shared" si="20"/>
        <v>841.53</v>
      </c>
      <c r="I75" s="89">
        <f t="shared" si="3"/>
        <v>0.47441946995450474</v>
      </c>
      <c r="J75" s="24">
        <f t="shared" si="4"/>
        <v>1773.81</v>
      </c>
      <c r="K75" s="24"/>
      <c r="L75" s="26">
        <f>L76+L77+L78</f>
        <v>0</v>
      </c>
    </row>
    <row r="76" spans="1:12" hidden="1">
      <c r="A76" s="21" t="s">
        <v>10</v>
      </c>
      <c r="B76" s="27">
        <f>318.26+137.32</f>
        <v>455.58</v>
      </c>
      <c r="C76" s="28">
        <v>69.73</v>
      </c>
      <c r="D76" s="27">
        <v>285.11</v>
      </c>
      <c r="E76" s="27">
        <v>455.58</v>
      </c>
      <c r="F76" s="27">
        <f>E76</f>
        <v>455.58</v>
      </c>
      <c r="G76" s="28">
        <v>42.23</v>
      </c>
      <c r="H76" s="27">
        <v>226.84</v>
      </c>
      <c r="I76" s="90">
        <f t="shared" ref="I76:I139" si="21">H76/E76</f>
        <v>0.4979147460380175</v>
      </c>
      <c r="J76" s="27">
        <f t="shared" ref="J76:J138" si="22">E76</f>
        <v>455.58</v>
      </c>
      <c r="K76" s="27"/>
      <c r="L76" s="29">
        <f>F76-J76</f>
        <v>0</v>
      </c>
    </row>
    <row r="77" spans="1:12" hidden="1">
      <c r="A77" s="21" t="s">
        <v>11</v>
      </c>
      <c r="B77" s="27">
        <f>858.81+226.63+0.09</f>
        <v>1085.53</v>
      </c>
      <c r="C77" s="28">
        <v>610</v>
      </c>
      <c r="D77" s="27">
        <v>909.51</v>
      </c>
      <c r="E77" s="27">
        <v>1108.6400000000001</v>
      </c>
      <c r="F77" s="27">
        <f>E77</f>
        <v>1108.6400000000001</v>
      </c>
      <c r="G77" s="28">
        <v>369.6</v>
      </c>
      <c r="H77" s="27">
        <v>551.5</v>
      </c>
      <c r="I77" s="90">
        <f t="shared" si="21"/>
        <v>0.49745634290662427</v>
      </c>
      <c r="J77" s="27">
        <f t="shared" si="22"/>
        <v>1108.6400000000001</v>
      </c>
      <c r="K77" s="27"/>
      <c r="L77" s="29">
        <f>F77-J77</f>
        <v>0</v>
      </c>
    </row>
    <row r="78" spans="1:12" hidden="1">
      <c r="A78" s="21" t="s">
        <v>12</v>
      </c>
      <c r="B78" s="27">
        <f>209.59-0.2</f>
        <v>209.39000000000001</v>
      </c>
      <c r="C78" s="28">
        <v>3.54</v>
      </c>
      <c r="D78" s="27">
        <v>140.81</v>
      </c>
      <c r="E78" s="27">
        <v>209.59</v>
      </c>
      <c r="F78" s="27">
        <f>E78</f>
        <v>209.59</v>
      </c>
      <c r="G78" s="28">
        <v>1.54</v>
      </c>
      <c r="H78" s="27">
        <v>63.19</v>
      </c>
      <c r="I78" s="90">
        <f t="shared" si="21"/>
        <v>0.30149339186029867</v>
      </c>
      <c r="J78" s="27">
        <f t="shared" si="22"/>
        <v>209.59</v>
      </c>
      <c r="K78" s="27"/>
      <c r="L78" s="29">
        <f>F78-J78</f>
        <v>0</v>
      </c>
    </row>
    <row r="79" spans="1:12" hidden="1">
      <c r="A79" s="23" t="s">
        <v>29</v>
      </c>
      <c r="B79" s="24">
        <f t="shared" ref="B79:H79" si="23">B80+B81+B82</f>
        <v>832.60000000000014</v>
      </c>
      <c r="C79" s="25">
        <f t="shared" si="23"/>
        <v>364.93</v>
      </c>
      <c r="D79" s="24">
        <f t="shared" si="23"/>
        <v>800.96</v>
      </c>
      <c r="E79" s="24">
        <f t="shared" si="23"/>
        <v>860.4</v>
      </c>
      <c r="F79" s="24">
        <f t="shared" si="23"/>
        <v>860.4</v>
      </c>
      <c r="G79" s="25"/>
      <c r="H79" s="24">
        <f t="shared" si="23"/>
        <v>411.61</v>
      </c>
      <c r="I79" s="89">
        <f t="shared" si="21"/>
        <v>0.47839377033937708</v>
      </c>
      <c r="J79" s="24">
        <f>J80+J81+J82</f>
        <v>803.4</v>
      </c>
      <c r="K79" s="24"/>
      <c r="L79" s="26">
        <f>L80+L81+L82</f>
        <v>57</v>
      </c>
    </row>
    <row r="80" spans="1:12" hidden="1">
      <c r="A80" s="21" t="s">
        <v>10</v>
      </c>
      <c r="B80" s="27">
        <v>225.18</v>
      </c>
      <c r="C80" s="28">
        <v>53.5</v>
      </c>
      <c r="D80" s="27">
        <v>265.02999999999997</v>
      </c>
      <c r="E80" s="27">
        <v>252.91</v>
      </c>
      <c r="F80" s="27">
        <f>E80</f>
        <v>252.91</v>
      </c>
      <c r="G80" s="28">
        <v>25.02</v>
      </c>
      <c r="H80" s="27">
        <v>134.5</v>
      </c>
      <c r="I80" s="90">
        <f t="shared" si="21"/>
        <v>0.53180973468822901</v>
      </c>
      <c r="J80" s="27">
        <f>E80-57</f>
        <v>195.91</v>
      </c>
      <c r="K80" s="27"/>
      <c r="L80" s="29">
        <f>F80-J80</f>
        <v>57</v>
      </c>
    </row>
    <row r="81" spans="1:12" hidden="1">
      <c r="A81" s="21" t="s">
        <v>11</v>
      </c>
      <c r="B81" s="27">
        <v>533.70000000000005</v>
      </c>
      <c r="C81" s="28">
        <v>310</v>
      </c>
      <c r="D81" s="27">
        <v>476.92</v>
      </c>
      <c r="E81" s="27">
        <v>533.77</v>
      </c>
      <c r="F81" s="27">
        <f>E81</f>
        <v>533.77</v>
      </c>
      <c r="G81" s="28">
        <v>165.9</v>
      </c>
      <c r="H81" s="27">
        <v>247.35</v>
      </c>
      <c r="I81" s="90">
        <f t="shared" si="21"/>
        <v>0.46340183974370985</v>
      </c>
      <c r="J81" s="27">
        <f t="shared" si="22"/>
        <v>533.77</v>
      </c>
      <c r="K81" s="27"/>
      <c r="L81" s="29">
        <f>F81-J81</f>
        <v>0</v>
      </c>
    </row>
    <row r="82" spans="1:12" hidden="1">
      <c r="A82" s="21" t="s">
        <v>12</v>
      </c>
      <c r="B82" s="27">
        <v>73.72</v>
      </c>
      <c r="C82" s="28">
        <v>1.43</v>
      </c>
      <c r="D82" s="27">
        <v>59.01</v>
      </c>
      <c r="E82" s="27">
        <v>73.72</v>
      </c>
      <c r="F82" s="27">
        <f>E82</f>
        <v>73.72</v>
      </c>
      <c r="G82" s="28">
        <v>0.69</v>
      </c>
      <c r="H82" s="27">
        <v>29.76</v>
      </c>
      <c r="I82" s="90">
        <f t="shared" si="21"/>
        <v>0.40368963646228978</v>
      </c>
      <c r="J82" s="27">
        <f t="shared" si="22"/>
        <v>73.72</v>
      </c>
      <c r="K82" s="27"/>
      <c r="L82" s="29">
        <f>F82-J82</f>
        <v>0</v>
      </c>
    </row>
    <row r="83" spans="1:12" hidden="1">
      <c r="A83" s="23" t="s">
        <v>30</v>
      </c>
      <c r="B83" s="24">
        <f t="shared" ref="B83:H83" si="24">B84+B85+B86</f>
        <v>1773.2500000000002</v>
      </c>
      <c r="C83" s="25">
        <f t="shared" si="24"/>
        <v>683.52</v>
      </c>
      <c r="D83" s="24">
        <f t="shared" si="24"/>
        <v>1407.42</v>
      </c>
      <c r="E83" s="24">
        <f t="shared" si="24"/>
        <v>1832.2</v>
      </c>
      <c r="F83" s="24">
        <f t="shared" si="24"/>
        <v>1832.2</v>
      </c>
      <c r="G83" s="25"/>
      <c r="H83" s="24">
        <f t="shared" si="24"/>
        <v>799.53</v>
      </c>
      <c r="I83" s="89">
        <f t="shared" si="21"/>
        <v>0.43637703307499176</v>
      </c>
      <c r="J83" s="24">
        <f t="shared" si="22"/>
        <v>1832.2</v>
      </c>
      <c r="K83" s="24"/>
      <c r="L83" s="26">
        <f>L84+L85+L86</f>
        <v>0</v>
      </c>
    </row>
    <row r="84" spans="1:12" hidden="1">
      <c r="A84" s="21" t="s">
        <v>10</v>
      </c>
      <c r="B84" s="27">
        <v>340.38</v>
      </c>
      <c r="C84" s="28">
        <v>70.17</v>
      </c>
      <c r="D84" s="27">
        <v>361.64</v>
      </c>
      <c r="E84" s="27">
        <v>399.33</v>
      </c>
      <c r="F84" s="27">
        <f>E84</f>
        <v>399.33</v>
      </c>
      <c r="G84" s="28">
        <v>32.130000000000003</v>
      </c>
      <c r="H84" s="27">
        <v>133.19999999999999</v>
      </c>
      <c r="I84" s="90">
        <f t="shared" si="21"/>
        <v>0.33355871084065808</v>
      </c>
      <c r="J84" s="27">
        <f t="shared" si="22"/>
        <v>399.33</v>
      </c>
      <c r="K84" s="27"/>
      <c r="L84" s="29">
        <f>F84-J84</f>
        <v>0</v>
      </c>
    </row>
    <row r="85" spans="1:12" hidden="1">
      <c r="A85" s="21" t="s">
        <v>11</v>
      </c>
      <c r="B85" s="27">
        <v>1219.6300000000001</v>
      </c>
      <c r="C85" s="28">
        <v>610</v>
      </c>
      <c r="D85" s="27">
        <v>908.37</v>
      </c>
      <c r="E85" s="27">
        <v>1219.6300000000001</v>
      </c>
      <c r="F85" s="27">
        <f>E85</f>
        <v>1219.6300000000001</v>
      </c>
      <c r="G85" s="28">
        <v>409</v>
      </c>
      <c r="H85" s="27">
        <v>602.79</v>
      </c>
      <c r="I85" s="90">
        <f t="shared" si="21"/>
        <v>0.49424005641055069</v>
      </c>
      <c r="J85" s="27">
        <f t="shared" si="22"/>
        <v>1219.6300000000001</v>
      </c>
      <c r="K85" s="27"/>
      <c r="L85" s="29">
        <f>F85-J85</f>
        <v>0</v>
      </c>
    </row>
    <row r="86" spans="1:12" hidden="1">
      <c r="A86" s="21" t="s">
        <v>12</v>
      </c>
      <c r="B86" s="27">
        <v>213.24</v>
      </c>
      <c r="C86" s="28">
        <v>3.35</v>
      </c>
      <c r="D86" s="27">
        <v>137.41</v>
      </c>
      <c r="E86" s="27">
        <v>213.24</v>
      </c>
      <c r="F86" s="27">
        <f>E86</f>
        <v>213.24</v>
      </c>
      <c r="G86" s="28">
        <v>1.86</v>
      </c>
      <c r="H86" s="27">
        <v>63.54</v>
      </c>
      <c r="I86" s="90">
        <f t="shared" si="21"/>
        <v>0.2979741136747327</v>
      </c>
      <c r="J86" s="27">
        <f t="shared" si="22"/>
        <v>213.24</v>
      </c>
      <c r="K86" s="27"/>
      <c r="L86" s="29">
        <f>F86-J86</f>
        <v>0</v>
      </c>
    </row>
    <row r="87" spans="1:12" hidden="1">
      <c r="A87" s="23" t="s">
        <v>31</v>
      </c>
      <c r="B87" s="24">
        <f t="shared" ref="B87:H87" si="25">B88+B89+B90</f>
        <v>2884.12</v>
      </c>
      <c r="C87" s="25">
        <f t="shared" si="25"/>
        <v>939.83</v>
      </c>
      <c r="D87" s="24">
        <f t="shared" si="25"/>
        <v>2097.12</v>
      </c>
      <c r="E87" s="24">
        <f t="shared" si="25"/>
        <v>2898.1</v>
      </c>
      <c r="F87" s="24">
        <f t="shared" si="25"/>
        <v>2898.1</v>
      </c>
      <c r="G87" s="25"/>
      <c r="H87" s="24">
        <f t="shared" si="25"/>
        <v>1026.3899999999999</v>
      </c>
      <c r="I87" s="89">
        <f t="shared" si="21"/>
        <v>0.35415962182119315</v>
      </c>
      <c r="J87" s="24">
        <f>J88+J89+J90</f>
        <v>2718.1</v>
      </c>
      <c r="K87" s="24"/>
      <c r="L87" s="26">
        <f>L88+L89+L90</f>
        <v>180</v>
      </c>
    </row>
    <row r="88" spans="1:12" hidden="1">
      <c r="A88" s="21" t="s">
        <v>10</v>
      </c>
      <c r="B88" s="27">
        <v>724.38</v>
      </c>
      <c r="C88" s="28">
        <v>124.44</v>
      </c>
      <c r="D88" s="27">
        <v>663.28</v>
      </c>
      <c r="E88" s="27">
        <v>820.37</v>
      </c>
      <c r="F88" s="27">
        <f>E88</f>
        <v>820.37</v>
      </c>
      <c r="G88" s="28">
        <v>61.74</v>
      </c>
      <c r="H88" s="27">
        <v>331.7</v>
      </c>
      <c r="I88" s="90">
        <f t="shared" si="21"/>
        <v>0.40432975364774432</v>
      </c>
      <c r="J88" s="27">
        <f t="shared" si="22"/>
        <v>820.37</v>
      </c>
      <c r="K88" s="27"/>
      <c r="L88" s="29">
        <f>F88-J88</f>
        <v>0</v>
      </c>
    </row>
    <row r="89" spans="1:12" hidden="1">
      <c r="A89" s="21" t="s">
        <v>11</v>
      </c>
      <c r="B89" s="27">
        <v>1769.81</v>
      </c>
      <c r="C89" s="28">
        <v>810</v>
      </c>
      <c r="D89" s="27">
        <v>1213.17</v>
      </c>
      <c r="E89" s="27">
        <v>1687.81</v>
      </c>
      <c r="F89" s="27">
        <f>E89</f>
        <v>1687.81</v>
      </c>
      <c r="G89" s="28">
        <f>245.76+133.9</f>
        <v>379.65999999999997</v>
      </c>
      <c r="H89" s="27">
        <v>566.05999999999995</v>
      </c>
      <c r="I89" s="90">
        <f t="shared" si="21"/>
        <v>0.33538135216641679</v>
      </c>
      <c r="J89" s="27">
        <f>E89-180</f>
        <v>1507.81</v>
      </c>
      <c r="K89" s="27"/>
      <c r="L89" s="29">
        <f>F89-J89</f>
        <v>180</v>
      </c>
    </row>
    <row r="90" spans="1:12" hidden="1">
      <c r="A90" s="21" t="s">
        <v>12</v>
      </c>
      <c r="B90" s="27">
        <v>389.93</v>
      </c>
      <c r="C90" s="28">
        <v>5.39</v>
      </c>
      <c r="D90" s="27">
        <v>220.67</v>
      </c>
      <c r="E90" s="27">
        <v>389.92</v>
      </c>
      <c r="F90" s="27">
        <f>E90</f>
        <v>389.92</v>
      </c>
      <c r="G90" s="28">
        <v>3.01</v>
      </c>
      <c r="H90" s="27">
        <v>128.63</v>
      </c>
      <c r="I90" s="90">
        <f t="shared" si="21"/>
        <v>0.32988818219121868</v>
      </c>
      <c r="J90" s="27">
        <f t="shared" si="22"/>
        <v>389.92</v>
      </c>
      <c r="K90" s="27"/>
      <c r="L90" s="29">
        <f>F90-J90</f>
        <v>0</v>
      </c>
    </row>
    <row r="91" spans="1:12" hidden="1">
      <c r="A91" s="23" t="s">
        <v>32</v>
      </c>
      <c r="B91" s="24">
        <f t="shared" ref="B91:H91" si="26">B92+B93+B94</f>
        <v>1175.1300000000001</v>
      </c>
      <c r="C91" s="25">
        <f t="shared" si="26"/>
        <v>575.32000000000005</v>
      </c>
      <c r="D91" s="24">
        <f t="shared" si="26"/>
        <v>2097.13</v>
      </c>
      <c r="E91" s="24">
        <f t="shared" si="26"/>
        <v>1214.1999999999998</v>
      </c>
      <c r="F91" s="24">
        <f t="shared" si="26"/>
        <v>1214.1999999999998</v>
      </c>
      <c r="G91" s="25"/>
      <c r="H91" s="24">
        <f t="shared" si="26"/>
        <v>691.46</v>
      </c>
      <c r="I91" s="89">
        <f t="shared" si="21"/>
        <v>0.56947784549497626</v>
      </c>
      <c r="J91" s="24">
        <f t="shared" si="22"/>
        <v>1214.1999999999998</v>
      </c>
      <c r="K91" s="24"/>
      <c r="L91" s="26">
        <f>L92+L93+L94</f>
        <v>0</v>
      </c>
    </row>
    <row r="92" spans="1:12" hidden="1">
      <c r="A92" s="21" t="s">
        <v>10</v>
      </c>
      <c r="B92" s="27">
        <v>367.72</v>
      </c>
      <c r="C92" s="28">
        <v>63.74</v>
      </c>
      <c r="D92" s="27">
        <v>663.29</v>
      </c>
      <c r="E92" s="27">
        <v>406.81</v>
      </c>
      <c r="F92" s="27">
        <f>E92</f>
        <v>406.81</v>
      </c>
      <c r="G92" s="28">
        <v>30.46</v>
      </c>
      <c r="H92" s="27">
        <v>163.71</v>
      </c>
      <c r="I92" s="90">
        <f t="shared" si="21"/>
        <v>0.40242373589636443</v>
      </c>
      <c r="J92" s="27">
        <f t="shared" si="22"/>
        <v>406.81</v>
      </c>
      <c r="K92" s="27"/>
      <c r="L92" s="29">
        <f>F92-J92</f>
        <v>0</v>
      </c>
    </row>
    <row r="93" spans="1:12" hidden="1">
      <c r="A93" s="21" t="s">
        <v>11</v>
      </c>
      <c r="B93" s="27">
        <v>700.77</v>
      </c>
      <c r="C93" s="28">
        <v>510</v>
      </c>
      <c r="D93" s="27">
        <v>1213.17</v>
      </c>
      <c r="E93" s="27">
        <v>700.77</v>
      </c>
      <c r="F93" s="27">
        <f>E93</f>
        <v>700.77</v>
      </c>
      <c r="G93" s="28">
        <v>328.09</v>
      </c>
      <c r="H93" s="27">
        <v>489.16</v>
      </c>
      <c r="I93" s="90">
        <f t="shared" si="21"/>
        <v>0.69803216461891926</v>
      </c>
      <c r="J93" s="27">
        <f t="shared" si="22"/>
        <v>700.77</v>
      </c>
      <c r="K93" s="27"/>
      <c r="L93" s="29">
        <f>F93-J93</f>
        <v>0</v>
      </c>
    </row>
    <row r="94" spans="1:12" hidden="1">
      <c r="A94" s="21" t="s">
        <v>12</v>
      </c>
      <c r="B94" s="27">
        <v>106.64</v>
      </c>
      <c r="C94" s="28">
        <v>1.58</v>
      </c>
      <c r="D94" s="27">
        <v>220.67</v>
      </c>
      <c r="E94" s="27">
        <v>106.62</v>
      </c>
      <c r="F94" s="27">
        <f>E94</f>
        <v>106.62</v>
      </c>
      <c r="G94" s="28">
        <v>0.91</v>
      </c>
      <c r="H94" s="27">
        <v>38.590000000000003</v>
      </c>
      <c r="I94" s="90">
        <f t="shared" si="21"/>
        <v>0.3619395985743763</v>
      </c>
      <c r="J94" s="27">
        <f t="shared" si="22"/>
        <v>106.62</v>
      </c>
      <c r="K94" s="27"/>
      <c r="L94" s="29">
        <f>F94-J94</f>
        <v>0</v>
      </c>
    </row>
    <row r="95" spans="1:12" hidden="1">
      <c r="A95" s="23" t="s">
        <v>33</v>
      </c>
      <c r="B95" s="24">
        <f t="shared" ref="B95:H95" si="27">B96+B97+B98</f>
        <v>1634.6799999999998</v>
      </c>
      <c r="C95" s="25">
        <f t="shared" si="27"/>
        <v>741.66</v>
      </c>
      <c r="D95" s="24">
        <f t="shared" si="27"/>
        <v>1523.84</v>
      </c>
      <c r="E95" s="24">
        <f t="shared" si="27"/>
        <v>1689</v>
      </c>
      <c r="F95" s="24">
        <f t="shared" si="27"/>
        <v>1689</v>
      </c>
      <c r="G95" s="25"/>
      <c r="H95" s="24">
        <f t="shared" si="27"/>
        <v>718.08</v>
      </c>
      <c r="I95" s="89">
        <f t="shared" si="21"/>
        <v>0.42515097690941389</v>
      </c>
      <c r="J95" s="24">
        <f t="shared" si="22"/>
        <v>1689</v>
      </c>
      <c r="K95" s="24"/>
      <c r="L95" s="26">
        <f>L96+L97+L98</f>
        <v>0</v>
      </c>
    </row>
    <row r="96" spans="1:12" hidden="1">
      <c r="A96" s="21" t="s">
        <v>10</v>
      </c>
      <c r="B96" s="27">
        <v>334.54</v>
      </c>
      <c r="C96" s="28">
        <v>67.91</v>
      </c>
      <c r="D96" s="27">
        <v>358.95</v>
      </c>
      <c r="E96" s="27">
        <v>388.88</v>
      </c>
      <c r="F96" s="27">
        <f>E96</f>
        <v>388.88</v>
      </c>
      <c r="G96" s="28">
        <v>22.51</v>
      </c>
      <c r="H96" s="27">
        <v>93.72</v>
      </c>
      <c r="I96" s="90">
        <f t="shared" si="21"/>
        <v>0.24099979428101215</v>
      </c>
      <c r="J96" s="27">
        <f t="shared" si="22"/>
        <v>388.88</v>
      </c>
      <c r="K96" s="27"/>
      <c r="L96" s="29">
        <f>F96-J96</f>
        <v>0</v>
      </c>
    </row>
    <row r="97" spans="1:12" hidden="1">
      <c r="A97" s="21" t="s">
        <v>11</v>
      </c>
      <c r="B97" s="27">
        <v>1103.3399999999999</v>
      </c>
      <c r="C97" s="28">
        <v>670</v>
      </c>
      <c r="D97" s="27">
        <v>1011.63</v>
      </c>
      <c r="E97" s="27">
        <v>1103.33</v>
      </c>
      <c r="F97" s="27">
        <f>E97</f>
        <v>1103.33</v>
      </c>
      <c r="G97" s="28">
        <v>391.35</v>
      </c>
      <c r="H97" s="27">
        <v>560.53</v>
      </c>
      <c r="I97" s="90">
        <f t="shared" si="21"/>
        <v>0.50803476747663889</v>
      </c>
      <c r="J97" s="27">
        <f t="shared" si="22"/>
        <v>1103.33</v>
      </c>
      <c r="K97" s="27"/>
      <c r="L97" s="29">
        <f>F97-J97</f>
        <v>0</v>
      </c>
    </row>
    <row r="98" spans="1:12" hidden="1">
      <c r="A98" s="21" t="s">
        <v>12</v>
      </c>
      <c r="B98" s="27">
        <v>196.8</v>
      </c>
      <c r="C98" s="28">
        <v>3.75</v>
      </c>
      <c r="D98" s="27">
        <v>153.26</v>
      </c>
      <c r="E98" s="27">
        <v>196.79</v>
      </c>
      <c r="F98" s="27">
        <f>E98</f>
        <v>196.79</v>
      </c>
      <c r="G98" s="28">
        <v>1.78</v>
      </c>
      <c r="H98" s="27">
        <v>63.83</v>
      </c>
      <c r="I98" s="90">
        <f t="shared" si="21"/>
        <v>0.32435591239392247</v>
      </c>
      <c r="J98" s="27">
        <f t="shared" si="22"/>
        <v>196.79</v>
      </c>
      <c r="K98" s="27"/>
      <c r="L98" s="29">
        <f>F98-J98</f>
        <v>0</v>
      </c>
    </row>
    <row r="99" spans="1:12" hidden="1">
      <c r="A99" s="23" t="s">
        <v>34</v>
      </c>
      <c r="B99" s="24">
        <f t="shared" ref="B99:H99" si="28">B100+B101+B102</f>
        <v>1786.94</v>
      </c>
      <c r="C99" s="25">
        <f t="shared" si="28"/>
        <v>991.42</v>
      </c>
      <c r="D99" s="24">
        <f t="shared" si="28"/>
        <v>1551.77</v>
      </c>
      <c r="E99" s="24">
        <f t="shared" si="28"/>
        <v>1755.08</v>
      </c>
      <c r="F99" s="24">
        <f t="shared" si="28"/>
        <v>1755.08</v>
      </c>
      <c r="G99" s="25"/>
      <c r="H99" s="24">
        <f t="shared" si="28"/>
        <v>808.07999999999993</v>
      </c>
      <c r="I99" s="89">
        <f t="shared" si="21"/>
        <v>0.46042345648061622</v>
      </c>
      <c r="J99" s="24">
        <f t="shared" si="22"/>
        <v>1755.08</v>
      </c>
      <c r="K99" s="24"/>
      <c r="L99" s="26">
        <f>L100+L101+L102</f>
        <v>0</v>
      </c>
    </row>
    <row r="100" spans="1:12" hidden="1">
      <c r="A100" s="21" t="s">
        <v>10</v>
      </c>
      <c r="B100" s="27">
        <v>225.18</v>
      </c>
      <c r="C100" s="28">
        <v>37.61</v>
      </c>
      <c r="D100" s="27">
        <v>195.49</v>
      </c>
      <c r="E100" s="27">
        <v>284.64</v>
      </c>
      <c r="F100" s="27">
        <f>E100</f>
        <v>284.64</v>
      </c>
      <c r="G100" s="28">
        <v>15.84</v>
      </c>
      <c r="H100" s="27">
        <v>67.540000000000006</v>
      </c>
      <c r="I100" s="90">
        <f t="shared" si="21"/>
        <v>0.23728218100056214</v>
      </c>
      <c r="J100" s="27">
        <f t="shared" si="22"/>
        <v>284.64</v>
      </c>
      <c r="K100" s="27"/>
      <c r="L100" s="29">
        <f>F100-J100</f>
        <v>0</v>
      </c>
    </row>
    <row r="101" spans="1:12" hidden="1">
      <c r="A101" s="21" t="s">
        <v>11</v>
      </c>
      <c r="B101" s="27">
        <v>1401.53</v>
      </c>
      <c r="C101" s="28">
        <v>950</v>
      </c>
      <c r="D101" s="27">
        <v>1200.76</v>
      </c>
      <c r="E101" s="27">
        <v>1310.21</v>
      </c>
      <c r="F101" s="27">
        <f>E101</f>
        <v>1310.21</v>
      </c>
      <c r="G101" s="28">
        <v>461.65</v>
      </c>
      <c r="H101" s="27">
        <v>676.66</v>
      </c>
      <c r="I101" s="90">
        <f t="shared" si="21"/>
        <v>0.51645156120011293</v>
      </c>
      <c r="J101" s="27">
        <f t="shared" si="22"/>
        <v>1310.21</v>
      </c>
      <c r="K101" s="27"/>
      <c r="L101" s="29">
        <f>F101-J101</f>
        <v>0</v>
      </c>
    </row>
    <row r="102" spans="1:12" hidden="1">
      <c r="A102" s="21" t="s">
        <v>12</v>
      </c>
      <c r="B102" s="27">
        <v>160.22999999999999</v>
      </c>
      <c r="C102" s="28">
        <v>3.81</v>
      </c>
      <c r="D102" s="27">
        <v>155.52000000000001</v>
      </c>
      <c r="E102" s="27">
        <v>160.22999999999999</v>
      </c>
      <c r="F102" s="27">
        <f>E102</f>
        <v>160.22999999999999</v>
      </c>
      <c r="G102" s="28">
        <v>1.82</v>
      </c>
      <c r="H102" s="27">
        <v>63.88</v>
      </c>
      <c r="I102" s="90">
        <f t="shared" si="21"/>
        <v>0.39867690195344196</v>
      </c>
      <c r="J102" s="27">
        <f t="shared" si="22"/>
        <v>160.22999999999999</v>
      </c>
      <c r="K102" s="27"/>
      <c r="L102" s="29">
        <f>F102-J102</f>
        <v>0</v>
      </c>
    </row>
    <row r="103" spans="1:12" hidden="1">
      <c r="A103" s="23" t="s">
        <v>35</v>
      </c>
      <c r="B103" s="24">
        <f t="shared" ref="B103:H103" si="29">B104+B105+B106</f>
        <v>681.41</v>
      </c>
      <c r="C103" s="25">
        <f t="shared" si="29"/>
        <v>293.64</v>
      </c>
      <c r="D103" s="24">
        <f t="shared" si="29"/>
        <v>617.04999999999995</v>
      </c>
      <c r="E103" s="24">
        <f t="shared" si="29"/>
        <v>704.09999999999991</v>
      </c>
      <c r="F103" s="24">
        <f t="shared" si="29"/>
        <v>704.09999999999991</v>
      </c>
      <c r="G103" s="25"/>
      <c r="H103" s="24">
        <f t="shared" si="29"/>
        <v>328.83</v>
      </c>
      <c r="I103" s="89">
        <f t="shared" si="21"/>
        <v>0.46702172986791651</v>
      </c>
      <c r="J103" s="24">
        <f t="shared" si="22"/>
        <v>704.09999999999991</v>
      </c>
      <c r="K103" s="24"/>
      <c r="L103" s="26">
        <f>L104+L105+L106</f>
        <v>0</v>
      </c>
    </row>
    <row r="104" spans="1:12" hidden="1">
      <c r="A104" s="21" t="s">
        <v>10</v>
      </c>
      <c r="B104" s="27">
        <v>214.12</v>
      </c>
      <c r="C104" s="28">
        <v>32.200000000000003</v>
      </c>
      <c r="D104" s="27">
        <v>170.94</v>
      </c>
      <c r="E104" s="27">
        <v>236.81</v>
      </c>
      <c r="F104" s="27">
        <f>E104</f>
        <v>236.81</v>
      </c>
      <c r="G104" s="28">
        <v>13.52</v>
      </c>
      <c r="H104" s="27">
        <v>72.760000000000005</v>
      </c>
      <c r="I104" s="90">
        <f t="shared" si="21"/>
        <v>0.30725053840631733</v>
      </c>
      <c r="J104" s="27">
        <f t="shared" si="22"/>
        <v>236.81</v>
      </c>
      <c r="K104" s="27"/>
      <c r="L104" s="29">
        <f>F104-J104</f>
        <v>0</v>
      </c>
    </row>
    <row r="105" spans="1:12" hidden="1">
      <c r="A105" s="21" t="s">
        <v>11</v>
      </c>
      <c r="B105" s="27">
        <v>410.01</v>
      </c>
      <c r="C105" s="28">
        <v>260</v>
      </c>
      <c r="D105" s="27">
        <v>387.35</v>
      </c>
      <c r="E105" s="27">
        <v>410.02</v>
      </c>
      <c r="F105" s="27">
        <f>E105</f>
        <v>410.02</v>
      </c>
      <c r="G105" s="28">
        <v>152.5</v>
      </c>
      <c r="H105" s="27">
        <v>227.37</v>
      </c>
      <c r="I105" s="90">
        <f t="shared" si="21"/>
        <v>0.55453392517438183</v>
      </c>
      <c r="J105" s="27">
        <f t="shared" si="22"/>
        <v>410.02</v>
      </c>
      <c r="K105" s="27"/>
      <c r="L105" s="29">
        <f>F105-J105</f>
        <v>0</v>
      </c>
    </row>
    <row r="106" spans="1:12" hidden="1">
      <c r="A106" s="21" t="s">
        <v>12</v>
      </c>
      <c r="B106" s="27">
        <v>57.28</v>
      </c>
      <c r="C106" s="28">
        <v>1.44</v>
      </c>
      <c r="D106" s="27">
        <v>58.76</v>
      </c>
      <c r="E106" s="27">
        <v>57.27</v>
      </c>
      <c r="F106" s="27">
        <f>E106</f>
        <v>57.27</v>
      </c>
      <c r="G106" s="28">
        <v>0.67</v>
      </c>
      <c r="H106" s="27">
        <v>28.7</v>
      </c>
      <c r="I106" s="90">
        <f t="shared" si="21"/>
        <v>0.50113497468133394</v>
      </c>
      <c r="J106" s="27">
        <f t="shared" si="22"/>
        <v>57.27</v>
      </c>
      <c r="K106" s="27"/>
      <c r="L106" s="29">
        <f>F106-J106</f>
        <v>0</v>
      </c>
    </row>
    <row r="107" spans="1:12" hidden="1">
      <c r="A107" s="23" t="s">
        <v>36</v>
      </c>
      <c r="B107" s="24">
        <f t="shared" ref="B107:H107" si="30">B108+B109+B110</f>
        <v>2091.96</v>
      </c>
      <c r="C107" s="25">
        <f t="shared" si="30"/>
        <v>724.76</v>
      </c>
      <c r="D107" s="24">
        <f t="shared" si="30"/>
        <v>1596.89</v>
      </c>
      <c r="E107" s="24">
        <f t="shared" si="30"/>
        <v>2161.5</v>
      </c>
      <c r="F107" s="24">
        <f t="shared" si="30"/>
        <v>2161.5</v>
      </c>
      <c r="G107" s="25"/>
      <c r="H107" s="24">
        <f t="shared" si="30"/>
        <v>974.07999999999993</v>
      </c>
      <c r="I107" s="89">
        <f t="shared" si="21"/>
        <v>0.45065001156604206</v>
      </c>
      <c r="J107" s="24">
        <f t="shared" si="22"/>
        <v>2161.5</v>
      </c>
      <c r="K107" s="24"/>
      <c r="L107" s="26">
        <f>L108+L109+L110</f>
        <v>0</v>
      </c>
    </row>
    <row r="108" spans="1:12" hidden="1">
      <c r="A108" s="21" t="s">
        <v>10</v>
      </c>
      <c r="B108" s="27">
        <v>356.66</v>
      </c>
      <c r="C108" s="28">
        <v>79.150000000000006</v>
      </c>
      <c r="D108" s="27">
        <v>409.96</v>
      </c>
      <c r="E108" s="27">
        <v>426.22</v>
      </c>
      <c r="F108" s="27">
        <f>E108</f>
        <v>426.22</v>
      </c>
      <c r="G108" s="28">
        <v>31.39</v>
      </c>
      <c r="H108" s="27">
        <v>168.68</v>
      </c>
      <c r="I108" s="90">
        <f t="shared" si="21"/>
        <v>0.39575805921824408</v>
      </c>
      <c r="J108" s="27">
        <f t="shared" si="22"/>
        <v>426.22</v>
      </c>
      <c r="K108" s="27"/>
      <c r="L108" s="29">
        <f>F108-J108</f>
        <v>0</v>
      </c>
    </row>
    <row r="109" spans="1:12" hidden="1">
      <c r="A109" s="21" t="s">
        <v>11</v>
      </c>
      <c r="B109" s="27">
        <v>1534.24</v>
      </c>
      <c r="C109" s="28">
        <v>640</v>
      </c>
      <c r="D109" s="27">
        <v>957.75</v>
      </c>
      <c r="E109" s="27">
        <v>1534.23</v>
      </c>
      <c r="F109" s="27">
        <f>E109</f>
        <v>1534.23</v>
      </c>
      <c r="G109" s="28">
        <v>455.11</v>
      </c>
      <c r="H109" s="27">
        <v>678.59</v>
      </c>
      <c r="I109" s="90">
        <f t="shared" si="21"/>
        <v>0.4423000462772857</v>
      </c>
      <c r="J109" s="27">
        <f t="shared" si="22"/>
        <v>1534.23</v>
      </c>
      <c r="K109" s="27"/>
      <c r="L109" s="29">
        <f>F109-J109</f>
        <v>0</v>
      </c>
    </row>
    <row r="110" spans="1:12" hidden="1">
      <c r="A110" s="21" t="s">
        <v>12</v>
      </c>
      <c r="B110" s="27">
        <v>201.06</v>
      </c>
      <c r="C110" s="28">
        <v>5.61</v>
      </c>
      <c r="D110" s="27">
        <v>229.18</v>
      </c>
      <c r="E110" s="27">
        <v>201.05</v>
      </c>
      <c r="F110" s="27">
        <f>E110</f>
        <v>201.05</v>
      </c>
      <c r="G110" s="28">
        <v>2.97</v>
      </c>
      <c r="H110" s="27">
        <v>126.81</v>
      </c>
      <c r="I110" s="90">
        <f t="shared" si="21"/>
        <v>0.63073862223327526</v>
      </c>
      <c r="J110" s="27">
        <f t="shared" si="22"/>
        <v>201.05</v>
      </c>
      <c r="K110" s="27"/>
      <c r="L110" s="29">
        <f>F110-J110</f>
        <v>0</v>
      </c>
    </row>
    <row r="111" spans="1:12" hidden="1">
      <c r="A111" s="23" t="s">
        <v>37</v>
      </c>
      <c r="B111" s="24">
        <f t="shared" ref="B111:H111" si="31">B112+B113+B114</f>
        <v>1630.8600000000001</v>
      </c>
      <c r="C111" s="25">
        <f t="shared" si="31"/>
        <v>807.77</v>
      </c>
      <c r="D111" s="24">
        <f t="shared" si="31"/>
        <v>1596.89</v>
      </c>
      <c r="E111" s="24">
        <f t="shared" si="31"/>
        <v>1677.3000000000002</v>
      </c>
      <c r="F111" s="24">
        <f t="shared" si="31"/>
        <v>1677.3000000000002</v>
      </c>
      <c r="G111" s="25"/>
      <c r="H111" s="24">
        <f t="shared" si="31"/>
        <v>771.62</v>
      </c>
      <c r="I111" s="89">
        <f t="shared" si="21"/>
        <v>0.46003696416860423</v>
      </c>
      <c r="J111" s="24">
        <f t="shared" si="22"/>
        <v>1677.3000000000002</v>
      </c>
      <c r="K111" s="24"/>
      <c r="L111" s="26">
        <f>L112+L113+L114</f>
        <v>0</v>
      </c>
    </row>
    <row r="112" spans="1:12" hidden="1">
      <c r="A112" s="21" t="s">
        <v>10</v>
      </c>
      <c r="B112" s="27">
        <v>356.66</v>
      </c>
      <c r="C112" s="28">
        <v>54.11</v>
      </c>
      <c r="D112" s="27">
        <v>409.96</v>
      </c>
      <c r="E112" s="27">
        <v>410.89</v>
      </c>
      <c r="F112" s="27">
        <f>E112</f>
        <v>410.89</v>
      </c>
      <c r="G112" s="28">
        <v>27.39</v>
      </c>
      <c r="H112" s="27">
        <v>116.48</v>
      </c>
      <c r="I112" s="90">
        <f t="shared" si="21"/>
        <v>0.28348219718172751</v>
      </c>
      <c r="J112" s="27">
        <f t="shared" si="22"/>
        <v>410.89</v>
      </c>
      <c r="K112" s="27"/>
      <c r="L112" s="29">
        <f>F112-J112</f>
        <v>0</v>
      </c>
    </row>
    <row r="113" spans="1:12" hidden="1">
      <c r="A113" s="21" t="s">
        <v>11</v>
      </c>
      <c r="B113" s="27">
        <v>1118.24</v>
      </c>
      <c r="C113" s="28">
        <v>750</v>
      </c>
      <c r="D113" s="27">
        <v>957.75</v>
      </c>
      <c r="E113" s="27">
        <v>1118.24</v>
      </c>
      <c r="F113" s="27">
        <f>E113</f>
        <v>1118.24</v>
      </c>
      <c r="G113" s="28">
        <v>420.1</v>
      </c>
      <c r="H113" s="27">
        <v>612.03</v>
      </c>
      <c r="I113" s="90">
        <f t="shared" si="21"/>
        <v>0.54731542423808843</v>
      </c>
      <c r="J113" s="27">
        <f t="shared" si="22"/>
        <v>1118.24</v>
      </c>
      <c r="K113" s="27"/>
      <c r="L113" s="29">
        <f>F113-J113</f>
        <v>0</v>
      </c>
    </row>
    <row r="114" spans="1:12" hidden="1">
      <c r="A114" s="21" t="s">
        <v>12</v>
      </c>
      <c r="B114" s="27">
        <v>155.96</v>
      </c>
      <c r="C114" s="28">
        <v>3.66</v>
      </c>
      <c r="D114" s="27">
        <v>229.18</v>
      </c>
      <c r="E114" s="27">
        <v>148.16999999999999</v>
      </c>
      <c r="F114" s="27">
        <f>E114</f>
        <v>148.16999999999999</v>
      </c>
      <c r="G114" s="28">
        <v>1.23</v>
      </c>
      <c r="H114" s="27">
        <v>43.11</v>
      </c>
      <c r="I114" s="90">
        <f t="shared" si="21"/>
        <v>0.29094958493622192</v>
      </c>
      <c r="J114" s="27">
        <f t="shared" si="22"/>
        <v>148.16999999999999</v>
      </c>
      <c r="K114" s="27"/>
      <c r="L114" s="29">
        <f>F114-J114</f>
        <v>0</v>
      </c>
    </row>
    <row r="115" spans="1:12" hidden="1">
      <c r="A115" s="23" t="s">
        <v>38</v>
      </c>
      <c r="B115" s="24">
        <f t="shared" ref="B115:H115" si="32">B116+B117+B118</f>
        <v>1609.6100000000001</v>
      </c>
      <c r="C115" s="25">
        <f t="shared" si="32"/>
        <v>816.32999999999993</v>
      </c>
      <c r="D115" s="24">
        <f t="shared" si="32"/>
        <v>1539.67</v>
      </c>
      <c r="E115" s="24">
        <f t="shared" si="32"/>
        <v>1663.1</v>
      </c>
      <c r="F115" s="24">
        <f t="shared" si="32"/>
        <v>1663.1</v>
      </c>
      <c r="G115" s="25"/>
      <c r="H115" s="24">
        <f t="shared" si="32"/>
        <v>759.44</v>
      </c>
      <c r="I115" s="89">
        <f t="shared" si="21"/>
        <v>0.45664121219409542</v>
      </c>
      <c r="J115" s="24">
        <f t="shared" si="22"/>
        <v>1663.1</v>
      </c>
      <c r="K115" s="24"/>
      <c r="L115" s="26">
        <f>L116+L117+L118</f>
        <v>0</v>
      </c>
    </row>
    <row r="116" spans="1:12" hidden="1">
      <c r="A116" s="21" t="s">
        <v>10</v>
      </c>
      <c r="B116" s="27">
        <v>307.2</v>
      </c>
      <c r="C116" s="28">
        <v>53.78</v>
      </c>
      <c r="D116" s="27">
        <v>288.92</v>
      </c>
      <c r="E116" s="27">
        <v>360.71</v>
      </c>
      <c r="F116" s="27">
        <f>E116</f>
        <v>360.71</v>
      </c>
      <c r="G116" s="28">
        <v>17.46</v>
      </c>
      <c r="H116" s="27">
        <v>93.37</v>
      </c>
      <c r="I116" s="90">
        <f t="shared" si="21"/>
        <v>0.25885060020515099</v>
      </c>
      <c r="J116" s="27">
        <f t="shared" si="22"/>
        <v>360.71</v>
      </c>
      <c r="K116" s="27"/>
      <c r="L116" s="29">
        <f>F116-J116</f>
        <v>0</v>
      </c>
    </row>
    <row r="117" spans="1:12" hidden="1">
      <c r="A117" s="21" t="s">
        <v>11</v>
      </c>
      <c r="B117" s="27">
        <v>1195.77</v>
      </c>
      <c r="C117" s="28">
        <v>760</v>
      </c>
      <c r="D117" s="27">
        <v>1145.95</v>
      </c>
      <c r="E117" s="27">
        <v>1195.77</v>
      </c>
      <c r="F117" s="27">
        <f>E117</f>
        <v>1195.77</v>
      </c>
      <c r="G117" s="28">
        <v>407.93</v>
      </c>
      <c r="H117" s="27">
        <v>608.20000000000005</v>
      </c>
      <c r="I117" s="90">
        <f t="shared" si="21"/>
        <v>0.50862624083226715</v>
      </c>
      <c r="J117" s="27">
        <f t="shared" si="22"/>
        <v>1195.77</v>
      </c>
      <c r="K117" s="27"/>
      <c r="L117" s="29">
        <f>F117-J117</f>
        <v>0</v>
      </c>
    </row>
    <row r="118" spans="1:12" hidden="1">
      <c r="A118" s="21" t="s">
        <v>12</v>
      </c>
      <c r="B118" s="27">
        <v>106.64</v>
      </c>
      <c r="C118" s="28">
        <v>2.5499999999999998</v>
      </c>
      <c r="D118" s="27">
        <v>104.8</v>
      </c>
      <c r="E118" s="27">
        <v>106.62</v>
      </c>
      <c r="F118" s="27">
        <f>E118</f>
        <v>106.62</v>
      </c>
      <c r="G118" s="28">
        <v>1.35</v>
      </c>
      <c r="H118" s="27">
        <v>57.87</v>
      </c>
      <c r="I118" s="90">
        <f t="shared" si="21"/>
        <v>0.54276871131119864</v>
      </c>
      <c r="J118" s="27">
        <f t="shared" si="22"/>
        <v>106.62</v>
      </c>
      <c r="K118" s="27"/>
      <c r="L118" s="29">
        <f>F118-J118</f>
        <v>0</v>
      </c>
    </row>
    <row r="119" spans="1:12" hidden="1">
      <c r="A119" s="23" t="s">
        <v>39</v>
      </c>
      <c r="B119" s="24">
        <f t="shared" ref="B119:H119" si="33">B120+B121+B122</f>
        <v>1511.77</v>
      </c>
      <c r="C119" s="25">
        <f t="shared" si="33"/>
        <v>711.13</v>
      </c>
      <c r="D119" s="24">
        <f t="shared" si="33"/>
        <v>1425.0600000000002</v>
      </c>
      <c r="E119" s="24">
        <f t="shared" si="33"/>
        <v>1562.1</v>
      </c>
      <c r="F119" s="24">
        <f t="shared" si="33"/>
        <v>1562.1</v>
      </c>
      <c r="G119" s="25"/>
      <c r="H119" s="24">
        <f t="shared" si="33"/>
        <v>731.75</v>
      </c>
      <c r="I119" s="89">
        <f t="shared" si="21"/>
        <v>0.46843992061967865</v>
      </c>
      <c r="J119" s="24">
        <f t="shared" si="22"/>
        <v>1562.1</v>
      </c>
      <c r="K119" s="24"/>
      <c r="L119" s="26">
        <f>L120+L121+L122</f>
        <v>0</v>
      </c>
    </row>
    <row r="120" spans="1:12" hidden="1">
      <c r="A120" s="21" t="s">
        <v>10</v>
      </c>
      <c r="B120" s="27">
        <v>301.98</v>
      </c>
      <c r="C120" s="28">
        <v>57.48</v>
      </c>
      <c r="D120" s="27">
        <v>299.48</v>
      </c>
      <c r="E120" s="27">
        <v>352.31</v>
      </c>
      <c r="F120" s="27">
        <f>E120</f>
        <v>352.31</v>
      </c>
      <c r="G120" s="28">
        <v>25.11</v>
      </c>
      <c r="H120" s="27">
        <v>134.97</v>
      </c>
      <c r="I120" s="90">
        <f t="shared" si="21"/>
        <v>0.38310011069796485</v>
      </c>
      <c r="J120" s="27">
        <f t="shared" si="22"/>
        <v>352.31</v>
      </c>
      <c r="K120" s="27"/>
      <c r="L120" s="29">
        <f>F120-J120</f>
        <v>0</v>
      </c>
    </row>
    <row r="121" spans="1:12" hidden="1">
      <c r="A121" s="21" t="s">
        <v>11</v>
      </c>
      <c r="B121" s="27">
        <v>1082.46</v>
      </c>
      <c r="C121" s="28">
        <v>650</v>
      </c>
      <c r="D121" s="27">
        <v>976.07</v>
      </c>
      <c r="E121" s="27">
        <v>1082.46</v>
      </c>
      <c r="F121" s="27">
        <f>E121</f>
        <v>1082.46</v>
      </c>
      <c r="G121" s="28">
        <v>407.93</v>
      </c>
      <c r="H121" s="27">
        <v>511.63</v>
      </c>
      <c r="I121" s="90">
        <f t="shared" si="21"/>
        <v>0.47265487870221529</v>
      </c>
      <c r="J121" s="27">
        <f t="shared" si="22"/>
        <v>1082.46</v>
      </c>
      <c r="K121" s="27"/>
      <c r="L121" s="29">
        <f>F121-J121</f>
        <v>0</v>
      </c>
    </row>
    <row r="122" spans="1:12" hidden="1">
      <c r="A122" s="21" t="s">
        <v>12</v>
      </c>
      <c r="B122" s="27">
        <v>127.33</v>
      </c>
      <c r="C122" s="28">
        <v>3.65</v>
      </c>
      <c r="D122" s="27">
        <v>149.51</v>
      </c>
      <c r="E122" s="27">
        <v>127.33</v>
      </c>
      <c r="F122" s="27">
        <f>E122</f>
        <v>127.33</v>
      </c>
      <c r="G122" s="28">
        <v>1.99</v>
      </c>
      <c r="H122" s="27">
        <v>85.15</v>
      </c>
      <c r="I122" s="90">
        <f t="shared" si="21"/>
        <v>0.66873478363307948</v>
      </c>
      <c r="J122" s="27">
        <f t="shared" si="22"/>
        <v>127.33</v>
      </c>
      <c r="K122" s="27"/>
      <c r="L122" s="29">
        <f>F122-J122</f>
        <v>0</v>
      </c>
    </row>
    <row r="123" spans="1:12" hidden="1">
      <c r="A123" s="23" t="s">
        <v>40</v>
      </c>
      <c r="B123" s="24">
        <f t="shared" ref="B123:H123" si="34">B124+B125+B126</f>
        <v>944.99</v>
      </c>
      <c r="C123" s="25">
        <f t="shared" si="34"/>
        <v>425.99</v>
      </c>
      <c r="D123" s="24">
        <f t="shared" si="34"/>
        <v>868.49</v>
      </c>
      <c r="E123" s="24">
        <f t="shared" si="34"/>
        <v>976.4</v>
      </c>
      <c r="F123" s="24">
        <f t="shared" si="34"/>
        <v>976.4</v>
      </c>
      <c r="G123" s="25"/>
      <c r="H123" s="24">
        <f t="shared" si="34"/>
        <v>530.26</v>
      </c>
      <c r="I123" s="89">
        <f t="shared" si="21"/>
        <v>0.54307660794756252</v>
      </c>
      <c r="J123" s="24">
        <f t="shared" si="22"/>
        <v>976.4</v>
      </c>
      <c r="K123" s="24"/>
      <c r="L123" s="26">
        <f>L124+L125+L126</f>
        <v>0</v>
      </c>
    </row>
    <row r="124" spans="1:12" hidden="1">
      <c r="A124" s="21" t="s">
        <v>10</v>
      </c>
      <c r="B124" s="27">
        <v>219.96</v>
      </c>
      <c r="C124" s="28">
        <v>44.44</v>
      </c>
      <c r="D124" s="27">
        <v>236.51</v>
      </c>
      <c r="E124" s="27">
        <v>251.38</v>
      </c>
      <c r="F124" s="27">
        <f>E124</f>
        <v>251.38</v>
      </c>
      <c r="G124" s="28">
        <v>20.88</v>
      </c>
      <c r="H124" s="27">
        <v>112.57</v>
      </c>
      <c r="I124" s="90">
        <f t="shared" si="21"/>
        <v>0.44780809929190862</v>
      </c>
      <c r="J124" s="27">
        <f t="shared" si="22"/>
        <v>251.38</v>
      </c>
      <c r="K124" s="27"/>
      <c r="L124" s="29">
        <f>F124-J124</f>
        <v>0</v>
      </c>
    </row>
    <row r="125" spans="1:12" hidden="1">
      <c r="A125" s="21" t="s">
        <v>11</v>
      </c>
      <c r="B125" s="27">
        <v>663.49</v>
      </c>
      <c r="C125" s="28">
        <v>380</v>
      </c>
      <c r="D125" s="27">
        <v>568.54</v>
      </c>
      <c r="E125" s="27">
        <v>663.49</v>
      </c>
      <c r="F125" s="27">
        <f>E125</f>
        <v>663.49</v>
      </c>
      <c r="G125" s="28">
        <v>260.33</v>
      </c>
      <c r="H125" s="27">
        <v>388.14</v>
      </c>
      <c r="I125" s="90">
        <f t="shared" si="21"/>
        <v>0.58499751315016046</v>
      </c>
      <c r="J125" s="27">
        <f t="shared" si="22"/>
        <v>663.49</v>
      </c>
      <c r="K125" s="27"/>
      <c r="L125" s="29">
        <f>F125-J125</f>
        <v>0</v>
      </c>
    </row>
    <row r="126" spans="1:12" hidden="1">
      <c r="A126" s="21" t="s">
        <v>12</v>
      </c>
      <c r="B126" s="27">
        <v>61.54</v>
      </c>
      <c r="C126" s="28">
        <v>1.55</v>
      </c>
      <c r="D126" s="27">
        <v>63.44</v>
      </c>
      <c r="E126" s="27">
        <v>61.53</v>
      </c>
      <c r="F126" s="27">
        <f>E126</f>
        <v>61.53</v>
      </c>
      <c r="G126" s="28">
        <v>0.69</v>
      </c>
      <c r="H126" s="27">
        <v>29.55</v>
      </c>
      <c r="I126" s="90">
        <f t="shared" si="21"/>
        <v>0.48025353486104339</v>
      </c>
      <c r="J126" s="27">
        <f t="shared" si="22"/>
        <v>61.53</v>
      </c>
      <c r="K126" s="27"/>
      <c r="L126" s="29">
        <f>F126-J126</f>
        <v>0</v>
      </c>
    </row>
    <row r="127" spans="1:12" hidden="1">
      <c r="A127" s="23" t="s">
        <v>41</v>
      </c>
      <c r="B127" s="24">
        <f t="shared" ref="B127:H127" si="35">B128+B129+B130</f>
        <v>1513.9199999999998</v>
      </c>
      <c r="C127" s="25">
        <f t="shared" si="35"/>
        <v>653.61</v>
      </c>
      <c r="D127" s="24">
        <f t="shared" si="35"/>
        <v>1196.8300000000002</v>
      </c>
      <c r="E127" s="24">
        <f t="shared" si="35"/>
        <v>1564.3</v>
      </c>
      <c r="F127" s="24">
        <f t="shared" si="35"/>
        <v>1564.3</v>
      </c>
      <c r="G127" s="25"/>
      <c r="H127" s="24">
        <f t="shared" si="35"/>
        <v>706.3</v>
      </c>
      <c r="I127" s="89">
        <f t="shared" si="21"/>
        <v>0.45151185833919322</v>
      </c>
      <c r="J127" s="24">
        <f t="shared" si="22"/>
        <v>1564.3</v>
      </c>
      <c r="K127" s="24"/>
      <c r="L127" s="26">
        <f>L128+L129+L130</f>
        <v>0</v>
      </c>
    </row>
    <row r="128" spans="1:12" hidden="1">
      <c r="A128" s="21" t="s">
        <v>10</v>
      </c>
      <c r="B128" s="27">
        <v>274.02</v>
      </c>
      <c r="C128" s="28">
        <v>19.87</v>
      </c>
      <c r="D128" s="27">
        <v>96.03</v>
      </c>
      <c r="E128" s="27">
        <v>324.43</v>
      </c>
      <c r="F128" s="27">
        <f>E128</f>
        <v>324.43</v>
      </c>
      <c r="G128" s="28">
        <v>8.4</v>
      </c>
      <c r="H128" s="27">
        <v>31.46</v>
      </c>
      <c r="I128" s="90">
        <f t="shared" si="21"/>
        <v>9.6970070585334273E-2</v>
      </c>
      <c r="J128" s="27">
        <f t="shared" si="22"/>
        <v>324.43</v>
      </c>
      <c r="K128" s="27"/>
      <c r="L128" s="29">
        <f>F128-J128</f>
        <v>0</v>
      </c>
    </row>
    <row r="129" spans="1:12" hidden="1">
      <c r="A129" s="21" t="s">
        <v>11</v>
      </c>
      <c r="B129" s="27">
        <v>1100.3599999999999</v>
      </c>
      <c r="C129" s="28">
        <v>630</v>
      </c>
      <c r="D129" s="27">
        <v>947.59</v>
      </c>
      <c r="E129" s="27">
        <v>1100.3499999999999</v>
      </c>
      <c r="F129" s="27">
        <f>E129</f>
        <v>1100.3499999999999</v>
      </c>
      <c r="G129" s="28">
        <v>420.86</v>
      </c>
      <c r="H129" s="27">
        <v>613.30999999999995</v>
      </c>
      <c r="I129" s="90">
        <f t="shared" si="21"/>
        <v>0.55737719816422049</v>
      </c>
      <c r="J129" s="27">
        <f t="shared" si="22"/>
        <v>1100.3499999999999</v>
      </c>
      <c r="K129" s="27"/>
      <c r="L129" s="29">
        <f>F129-J129</f>
        <v>0</v>
      </c>
    </row>
    <row r="130" spans="1:12" hidden="1">
      <c r="A130" s="21" t="s">
        <v>12</v>
      </c>
      <c r="B130" s="27">
        <v>139.54</v>
      </c>
      <c r="C130" s="28">
        <v>3.74</v>
      </c>
      <c r="D130" s="27">
        <v>153.21</v>
      </c>
      <c r="E130" s="27">
        <v>139.52000000000001</v>
      </c>
      <c r="F130" s="27">
        <f>E130</f>
        <v>139.52000000000001</v>
      </c>
      <c r="G130" s="28">
        <v>1.74</v>
      </c>
      <c r="H130" s="27">
        <v>61.53</v>
      </c>
      <c r="I130" s="90">
        <f t="shared" si="21"/>
        <v>0.44101204128440363</v>
      </c>
      <c r="J130" s="27">
        <f t="shared" si="22"/>
        <v>139.52000000000001</v>
      </c>
      <c r="K130" s="27"/>
      <c r="L130" s="29">
        <f>F130-J130</f>
        <v>0</v>
      </c>
    </row>
    <row r="131" spans="1:12" hidden="1">
      <c r="A131" s="23" t="s">
        <v>42</v>
      </c>
      <c r="B131" s="24">
        <f t="shared" ref="B131:H131" si="36">B132+B133+B134</f>
        <v>1506.79</v>
      </c>
      <c r="C131" s="25">
        <f t="shared" si="36"/>
        <v>628.70000000000005</v>
      </c>
      <c r="D131" s="24">
        <f t="shared" si="36"/>
        <v>1263.47</v>
      </c>
      <c r="E131" s="24">
        <f t="shared" si="36"/>
        <v>1556.9</v>
      </c>
      <c r="F131" s="24">
        <f t="shared" si="36"/>
        <v>1556.9</v>
      </c>
      <c r="G131" s="25"/>
      <c r="H131" s="24">
        <f t="shared" si="36"/>
        <v>712.27</v>
      </c>
      <c r="I131" s="89">
        <f t="shared" si="21"/>
        <v>0.45749245295137769</v>
      </c>
      <c r="J131" s="24">
        <f t="shared" si="22"/>
        <v>1556.9</v>
      </c>
      <c r="K131" s="24"/>
      <c r="L131" s="26">
        <f>L132+L133+L134</f>
        <v>0</v>
      </c>
    </row>
    <row r="132" spans="1:12" hidden="1">
      <c r="A132" s="21" t="s">
        <v>10</v>
      </c>
      <c r="B132" s="27">
        <v>329.32</v>
      </c>
      <c r="C132" s="28">
        <v>55.32</v>
      </c>
      <c r="D132" s="27">
        <v>273.27</v>
      </c>
      <c r="E132" s="27">
        <v>379.45</v>
      </c>
      <c r="F132" s="27">
        <f>E132</f>
        <v>379.45</v>
      </c>
      <c r="G132" s="28">
        <v>32.68</v>
      </c>
      <c r="H132" s="27">
        <v>170.31</v>
      </c>
      <c r="I132" s="90">
        <f t="shared" si="21"/>
        <v>0.44883383845038877</v>
      </c>
      <c r="J132" s="27">
        <f t="shared" si="22"/>
        <v>379.45</v>
      </c>
      <c r="K132" s="27"/>
      <c r="L132" s="29">
        <f>F132-J132</f>
        <v>0</v>
      </c>
    </row>
    <row r="133" spans="1:12" hidden="1">
      <c r="A133" s="21" t="s">
        <v>11</v>
      </c>
      <c r="B133" s="27">
        <v>1042.2</v>
      </c>
      <c r="C133" s="28">
        <v>570</v>
      </c>
      <c r="D133" s="27">
        <v>852.13</v>
      </c>
      <c r="E133" s="27">
        <v>1042.2</v>
      </c>
      <c r="F133" s="27">
        <f>E133</f>
        <v>1042.2</v>
      </c>
      <c r="G133" s="28">
        <v>311</v>
      </c>
      <c r="H133" s="27">
        <v>463.68</v>
      </c>
      <c r="I133" s="90">
        <f t="shared" si="21"/>
        <v>0.44490500863557858</v>
      </c>
      <c r="J133" s="27">
        <f t="shared" si="22"/>
        <v>1042.2</v>
      </c>
      <c r="K133" s="27"/>
      <c r="L133" s="29">
        <f>F133-J133</f>
        <v>0</v>
      </c>
    </row>
    <row r="134" spans="1:12" hidden="1">
      <c r="A134" s="21" t="s">
        <v>12</v>
      </c>
      <c r="B134" s="27">
        <v>135.27000000000001</v>
      </c>
      <c r="C134" s="28">
        <v>3.38</v>
      </c>
      <c r="D134" s="27">
        <v>138.07</v>
      </c>
      <c r="E134" s="27">
        <v>135.25</v>
      </c>
      <c r="F134" s="27">
        <f>E134</f>
        <v>135.25</v>
      </c>
      <c r="G134" s="28">
        <v>1.83</v>
      </c>
      <c r="H134" s="27">
        <v>78.28</v>
      </c>
      <c r="I134" s="90">
        <f t="shared" si="21"/>
        <v>0.57878003696857672</v>
      </c>
      <c r="J134" s="27">
        <f t="shared" si="22"/>
        <v>135.25</v>
      </c>
      <c r="K134" s="27"/>
      <c r="L134" s="29">
        <f>F134-J134</f>
        <v>0</v>
      </c>
    </row>
    <row r="135" spans="1:12" hidden="1">
      <c r="A135" s="23" t="s">
        <v>43</v>
      </c>
      <c r="B135" s="24">
        <f t="shared" ref="B135:H135" si="37">B136+B137+B138</f>
        <v>1899.78</v>
      </c>
      <c r="C135" s="25">
        <f t="shared" si="37"/>
        <v>982.89</v>
      </c>
      <c r="D135" s="24">
        <f t="shared" si="37"/>
        <v>1968.85</v>
      </c>
      <c r="E135" s="24">
        <f t="shared" si="37"/>
        <v>1963</v>
      </c>
      <c r="F135" s="24">
        <f t="shared" si="37"/>
        <v>1963</v>
      </c>
      <c r="G135" s="25"/>
      <c r="H135" s="24">
        <f t="shared" si="37"/>
        <v>964.98</v>
      </c>
      <c r="I135" s="89">
        <f t="shared" si="21"/>
        <v>0.49158430973000511</v>
      </c>
      <c r="J135" s="24">
        <f t="shared" si="22"/>
        <v>1963</v>
      </c>
      <c r="K135" s="24"/>
      <c r="L135" s="26">
        <f>L136+L137+L138</f>
        <v>0</v>
      </c>
    </row>
    <row r="136" spans="1:12" hidden="1">
      <c r="A136" s="21" t="s">
        <v>10</v>
      </c>
      <c r="B136" s="27">
        <v>340.38</v>
      </c>
      <c r="C136" s="28">
        <v>66.77</v>
      </c>
      <c r="D136" s="27">
        <v>357.91</v>
      </c>
      <c r="E136" s="27">
        <v>403.61</v>
      </c>
      <c r="F136" s="27">
        <f>E136</f>
        <v>403.61</v>
      </c>
      <c r="G136" s="28">
        <v>29.44</v>
      </c>
      <c r="H136" s="27">
        <v>158.13999999999999</v>
      </c>
      <c r="I136" s="90">
        <f t="shared" si="21"/>
        <v>0.39181387973538806</v>
      </c>
      <c r="J136" s="27">
        <f t="shared" si="22"/>
        <v>403.61</v>
      </c>
      <c r="K136" s="27"/>
      <c r="L136" s="29">
        <f>F136-J136</f>
        <v>0</v>
      </c>
    </row>
    <row r="137" spans="1:12" hidden="1">
      <c r="A137" s="21" t="s">
        <v>11</v>
      </c>
      <c r="B137" s="27">
        <v>1341.89</v>
      </c>
      <c r="C137" s="28">
        <v>910</v>
      </c>
      <c r="D137" s="27">
        <v>1361.07</v>
      </c>
      <c r="E137" s="27">
        <v>1341.89</v>
      </c>
      <c r="F137" s="27">
        <f>E137</f>
        <v>1341.89</v>
      </c>
      <c r="G137" s="28">
        <v>461.09</v>
      </c>
      <c r="H137" s="27">
        <v>687.46</v>
      </c>
      <c r="I137" s="90">
        <f t="shared" si="21"/>
        <v>0.51230726810692384</v>
      </c>
      <c r="J137" s="27">
        <f t="shared" si="22"/>
        <v>1341.89</v>
      </c>
      <c r="K137" s="27"/>
      <c r="L137" s="29">
        <f>F137-J137</f>
        <v>0</v>
      </c>
    </row>
    <row r="138" spans="1:12" hidden="1">
      <c r="A138" s="21" t="s">
        <v>12</v>
      </c>
      <c r="B138" s="27">
        <v>217.51</v>
      </c>
      <c r="C138" s="28">
        <v>6.12</v>
      </c>
      <c r="D138" s="27">
        <v>249.87</v>
      </c>
      <c r="E138" s="27">
        <v>217.5</v>
      </c>
      <c r="F138" s="27">
        <f>E138</f>
        <v>217.5</v>
      </c>
      <c r="G138" s="28">
        <v>2.8</v>
      </c>
      <c r="H138" s="27">
        <v>119.38</v>
      </c>
      <c r="I138" s="90">
        <f t="shared" si="21"/>
        <v>0.54887356321839076</v>
      </c>
      <c r="J138" s="27">
        <f t="shared" si="22"/>
        <v>217.5</v>
      </c>
      <c r="K138" s="27"/>
      <c r="L138" s="29">
        <f>F138-J138</f>
        <v>0</v>
      </c>
    </row>
    <row r="139" spans="1:12" hidden="1">
      <c r="A139" s="23" t="s">
        <v>44</v>
      </c>
      <c r="B139" s="24">
        <f t="shared" ref="B139:H139" si="38">B140+B141+B142</f>
        <v>1498.6599999999999</v>
      </c>
      <c r="C139" s="25">
        <f t="shared" si="38"/>
        <v>521.12</v>
      </c>
      <c r="D139" s="24">
        <f t="shared" si="38"/>
        <v>1098.81</v>
      </c>
      <c r="E139" s="24">
        <f t="shared" si="38"/>
        <v>1378.5</v>
      </c>
      <c r="F139" s="24">
        <f t="shared" si="38"/>
        <v>1378.5</v>
      </c>
      <c r="G139" s="25"/>
      <c r="H139" s="24">
        <f t="shared" si="38"/>
        <v>485.29999999999995</v>
      </c>
      <c r="I139" s="89">
        <f t="shared" si="21"/>
        <v>0.35204932898077618</v>
      </c>
      <c r="J139" s="24">
        <f>J140+J141+J142</f>
        <v>1308.5</v>
      </c>
      <c r="K139" s="24"/>
      <c r="L139" s="26">
        <f>L140+L141+L142</f>
        <v>70</v>
      </c>
    </row>
    <row r="140" spans="1:12" hidden="1">
      <c r="A140" s="21" t="s">
        <v>10</v>
      </c>
      <c r="B140" s="27">
        <v>455.58</v>
      </c>
      <c r="C140" s="28">
        <v>47.9</v>
      </c>
      <c r="D140" s="27">
        <v>254.5</v>
      </c>
      <c r="E140" s="27">
        <v>505.44</v>
      </c>
      <c r="F140" s="27">
        <f>E140</f>
        <v>505.44</v>
      </c>
      <c r="G140" s="28">
        <v>18.96</v>
      </c>
      <c r="H140" s="27">
        <v>101.85</v>
      </c>
      <c r="I140" s="90">
        <f t="shared" ref="I140:I203" si="39">H140/E140</f>
        <v>0.20150759734093066</v>
      </c>
      <c r="J140" s="27">
        <f>E140</f>
        <v>505.44</v>
      </c>
      <c r="K140" s="27"/>
      <c r="L140" s="29">
        <f>F140-J140</f>
        <v>0</v>
      </c>
    </row>
    <row r="141" spans="1:12" hidden="1">
      <c r="A141" s="21" t="s">
        <v>11</v>
      </c>
      <c r="B141" s="27">
        <v>903.54</v>
      </c>
      <c r="C141" s="28">
        <v>470</v>
      </c>
      <c r="D141" s="27">
        <v>712.69</v>
      </c>
      <c r="E141" s="27">
        <v>733.54</v>
      </c>
      <c r="F141" s="27">
        <f>E141</f>
        <v>733.54</v>
      </c>
      <c r="G141" s="28">
        <v>220.12</v>
      </c>
      <c r="H141" s="27">
        <v>328.32</v>
      </c>
      <c r="I141" s="90">
        <f t="shared" si="39"/>
        <v>0.44758295389481145</v>
      </c>
      <c r="J141" s="27">
        <f>E141-70</f>
        <v>663.54</v>
      </c>
      <c r="K141" s="27"/>
      <c r="L141" s="29">
        <f>F141-J141</f>
        <v>70</v>
      </c>
    </row>
    <row r="142" spans="1:12" hidden="1">
      <c r="A142" s="21" t="s">
        <v>12</v>
      </c>
      <c r="B142" s="27">
        <v>139.54</v>
      </c>
      <c r="C142" s="28">
        <v>3.22</v>
      </c>
      <c r="D142" s="27">
        <v>131.62</v>
      </c>
      <c r="E142" s="27">
        <v>139.52000000000001</v>
      </c>
      <c r="F142" s="27">
        <f>E142</f>
        <v>139.52000000000001</v>
      </c>
      <c r="G142" s="28">
        <v>1.29</v>
      </c>
      <c r="H142" s="27">
        <v>55.13</v>
      </c>
      <c r="I142" s="90">
        <f t="shared" si="39"/>
        <v>0.39514048165137616</v>
      </c>
      <c r="J142" s="27">
        <f t="shared" ref="J142:J162" si="40">E142</f>
        <v>139.52000000000001</v>
      </c>
      <c r="K142" s="27"/>
      <c r="L142" s="29">
        <f>F142-J142</f>
        <v>0</v>
      </c>
    </row>
    <row r="143" spans="1:12" hidden="1">
      <c r="A143" s="23" t="s">
        <v>45</v>
      </c>
      <c r="B143" s="24">
        <f t="shared" ref="B143:H143" si="41">B144+B145+B146</f>
        <v>1714.65</v>
      </c>
      <c r="C143" s="25">
        <f t="shared" si="41"/>
        <v>902.90000000000009</v>
      </c>
      <c r="D143" s="24">
        <f t="shared" si="41"/>
        <v>1695.28</v>
      </c>
      <c r="E143" s="24">
        <f t="shared" si="41"/>
        <v>1771.7</v>
      </c>
      <c r="F143" s="24">
        <f t="shared" si="41"/>
        <v>1771.7</v>
      </c>
      <c r="G143" s="25"/>
      <c r="H143" s="24">
        <f t="shared" si="41"/>
        <v>758.37</v>
      </c>
      <c r="I143" s="89">
        <f t="shared" si="39"/>
        <v>0.42804650900265279</v>
      </c>
      <c r="J143" s="24">
        <f t="shared" si="40"/>
        <v>1771.7</v>
      </c>
      <c r="K143" s="24"/>
      <c r="L143" s="26">
        <f>L144+L145+L146</f>
        <v>0</v>
      </c>
    </row>
    <row r="144" spans="1:12" hidden="1">
      <c r="A144" s="21" t="s">
        <v>10</v>
      </c>
      <c r="B144" s="27">
        <v>351.44</v>
      </c>
      <c r="C144" s="28">
        <v>60.19</v>
      </c>
      <c r="D144" s="27">
        <v>316.58999999999997</v>
      </c>
      <c r="E144" s="27">
        <v>408.49</v>
      </c>
      <c r="F144" s="27">
        <f>E144</f>
        <v>408.49</v>
      </c>
      <c r="G144" s="28">
        <v>30.44</v>
      </c>
      <c r="H144" s="27">
        <v>163.53</v>
      </c>
      <c r="I144" s="90">
        <f t="shared" si="39"/>
        <v>0.40032803740605644</v>
      </c>
      <c r="J144" s="27">
        <f t="shared" si="40"/>
        <v>408.49</v>
      </c>
      <c r="K144" s="27"/>
      <c r="L144" s="29">
        <f>F144-J144</f>
        <v>0</v>
      </c>
    </row>
    <row r="145" spans="1:12" hidden="1">
      <c r="A145" s="21" t="s">
        <v>11</v>
      </c>
      <c r="B145" s="27">
        <v>1285.22</v>
      </c>
      <c r="C145" s="28">
        <v>840</v>
      </c>
      <c r="D145" s="27">
        <v>1267.28</v>
      </c>
      <c r="E145" s="27">
        <v>1285.23</v>
      </c>
      <c r="F145" s="27">
        <f>E145</f>
        <v>1285.23</v>
      </c>
      <c r="G145" s="28">
        <v>364.25</v>
      </c>
      <c r="H145" s="27">
        <v>543.08000000000004</v>
      </c>
      <c r="I145" s="90">
        <f t="shared" si="39"/>
        <v>0.42255471783260584</v>
      </c>
      <c r="J145" s="27">
        <f t="shared" si="40"/>
        <v>1285.23</v>
      </c>
      <c r="K145" s="27"/>
      <c r="L145" s="29">
        <f>F145-J145</f>
        <v>0</v>
      </c>
    </row>
    <row r="146" spans="1:12" hidden="1">
      <c r="A146" s="21" t="s">
        <v>12</v>
      </c>
      <c r="B146" s="27">
        <v>77.989999999999995</v>
      </c>
      <c r="C146" s="28">
        <v>2.71</v>
      </c>
      <c r="D146" s="27">
        <v>111.41</v>
      </c>
      <c r="E146" s="27">
        <v>77.98</v>
      </c>
      <c r="F146" s="27">
        <f>E146</f>
        <v>77.98</v>
      </c>
      <c r="G146" s="28">
        <v>1.21</v>
      </c>
      <c r="H146" s="27">
        <v>51.76</v>
      </c>
      <c r="I146" s="90">
        <f t="shared" si="39"/>
        <v>0.66375993844575532</v>
      </c>
      <c r="J146" s="27">
        <f t="shared" si="40"/>
        <v>77.98</v>
      </c>
      <c r="K146" s="27"/>
      <c r="L146" s="29">
        <f>F146-J146</f>
        <v>0</v>
      </c>
    </row>
    <row r="147" spans="1:12" hidden="1">
      <c r="A147" s="23" t="s">
        <v>46</v>
      </c>
      <c r="B147" s="24">
        <f t="shared" ref="B147:H147" si="42">B148+B149+B150</f>
        <v>1547.4700000000003</v>
      </c>
      <c r="C147" s="25">
        <f t="shared" si="42"/>
        <v>856.85</v>
      </c>
      <c r="D147" s="24">
        <f t="shared" si="42"/>
        <v>1701.95</v>
      </c>
      <c r="E147" s="24">
        <f t="shared" si="42"/>
        <v>1599</v>
      </c>
      <c r="F147" s="24">
        <f t="shared" si="42"/>
        <v>1599</v>
      </c>
      <c r="G147" s="25"/>
      <c r="H147" s="24">
        <f t="shared" si="42"/>
        <v>793.43</v>
      </c>
      <c r="I147" s="89">
        <f t="shared" si="39"/>
        <v>0.49620387742338956</v>
      </c>
      <c r="J147" s="24">
        <f t="shared" si="40"/>
        <v>1599</v>
      </c>
      <c r="K147" s="24"/>
      <c r="L147" s="26">
        <f>L148+L149+L150</f>
        <v>0</v>
      </c>
    </row>
    <row r="148" spans="1:12" hidden="1">
      <c r="A148" s="21" t="s">
        <v>10</v>
      </c>
      <c r="B148" s="27">
        <v>356.66</v>
      </c>
      <c r="C148" s="28">
        <v>62.07</v>
      </c>
      <c r="D148" s="27">
        <v>320.44</v>
      </c>
      <c r="E148" s="27">
        <v>408.18</v>
      </c>
      <c r="F148" s="27">
        <f>E148</f>
        <v>408.18</v>
      </c>
      <c r="G148" s="28">
        <v>29.48</v>
      </c>
      <c r="H148" s="27">
        <v>158.87</v>
      </c>
      <c r="I148" s="90">
        <f t="shared" si="39"/>
        <v>0.38921554216277132</v>
      </c>
      <c r="J148" s="27">
        <f t="shared" si="40"/>
        <v>408.18</v>
      </c>
      <c r="K148" s="27"/>
      <c r="L148" s="29">
        <f>F148-J148</f>
        <v>0</v>
      </c>
    </row>
    <row r="149" spans="1:12" hidden="1">
      <c r="A149" s="21" t="s">
        <v>11</v>
      </c>
      <c r="B149" s="27">
        <v>1001.94</v>
      </c>
      <c r="C149" s="28">
        <v>790</v>
      </c>
      <c r="D149" s="27">
        <v>1185.24</v>
      </c>
      <c r="E149" s="27">
        <v>1001.95</v>
      </c>
      <c r="F149" s="27">
        <f>E149</f>
        <v>1001.95</v>
      </c>
      <c r="G149" s="28">
        <v>374.8</v>
      </c>
      <c r="H149" s="27">
        <v>558.79999999999995</v>
      </c>
      <c r="I149" s="90">
        <f t="shared" si="39"/>
        <v>0.55771246070163172</v>
      </c>
      <c r="J149" s="27">
        <f t="shared" si="40"/>
        <v>1001.95</v>
      </c>
      <c r="K149" s="27"/>
      <c r="L149" s="29">
        <f>F149-J149</f>
        <v>0</v>
      </c>
    </row>
    <row r="150" spans="1:12" hidden="1">
      <c r="A150" s="21" t="s">
        <v>12</v>
      </c>
      <c r="B150" s="27">
        <v>188.87</v>
      </c>
      <c r="C150" s="28">
        <v>4.78</v>
      </c>
      <c r="D150" s="27">
        <v>196.27</v>
      </c>
      <c r="E150" s="27">
        <v>188.87</v>
      </c>
      <c r="F150" s="27">
        <f>E150</f>
        <v>188.87</v>
      </c>
      <c r="G150" s="28">
        <v>1.77</v>
      </c>
      <c r="H150" s="27">
        <v>75.760000000000005</v>
      </c>
      <c r="I150" s="90">
        <f t="shared" si="39"/>
        <v>0.40112246518769523</v>
      </c>
      <c r="J150" s="27">
        <f t="shared" si="40"/>
        <v>188.87</v>
      </c>
      <c r="K150" s="27"/>
      <c r="L150" s="29">
        <f>F150-J150</f>
        <v>0</v>
      </c>
    </row>
    <row r="151" spans="1:12" hidden="1">
      <c r="A151" s="23" t="s">
        <v>47</v>
      </c>
      <c r="B151" s="24">
        <f t="shared" ref="B151:H151" si="43">B152+B153+B154</f>
        <v>1908.39</v>
      </c>
      <c r="C151" s="25">
        <f t="shared" si="43"/>
        <v>850</v>
      </c>
      <c r="D151" s="24">
        <f t="shared" si="43"/>
        <v>1780.91</v>
      </c>
      <c r="E151" s="24">
        <f t="shared" si="43"/>
        <v>1971.9</v>
      </c>
      <c r="F151" s="24">
        <f t="shared" si="43"/>
        <v>1971.9</v>
      </c>
      <c r="G151" s="25"/>
      <c r="H151" s="24">
        <f t="shared" si="43"/>
        <v>1106.3800000000001</v>
      </c>
      <c r="I151" s="89">
        <f t="shared" si="39"/>
        <v>0.56107307672802886</v>
      </c>
      <c r="J151" s="24">
        <f t="shared" si="40"/>
        <v>1971.9</v>
      </c>
      <c r="K151" s="24"/>
      <c r="L151" s="26">
        <f>L152+L153+L154</f>
        <v>0</v>
      </c>
    </row>
    <row r="152" spans="1:12" hidden="1">
      <c r="A152" s="21" t="s">
        <v>10</v>
      </c>
      <c r="B152" s="27">
        <v>346.22</v>
      </c>
      <c r="C152" s="28">
        <v>84.78</v>
      </c>
      <c r="D152" s="27">
        <v>420.67</v>
      </c>
      <c r="E152" s="27">
        <v>409.73</v>
      </c>
      <c r="F152" s="27">
        <f>E152</f>
        <v>409.73</v>
      </c>
      <c r="G152" s="28">
        <v>38.25</v>
      </c>
      <c r="H152" s="27">
        <v>205.62</v>
      </c>
      <c r="I152" s="90">
        <f t="shared" si="39"/>
        <v>0.50184267688477779</v>
      </c>
      <c r="J152" s="27">
        <f t="shared" si="40"/>
        <v>409.73</v>
      </c>
      <c r="K152" s="27"/>
      <c r="L152" s="29">
        <f>F152-J152</f>
        <v>0</v>
      </c>
    </row>
    <row r="153" spans="1:12" hidden="1">
      <c r="A153" s="21" t="s">
        <v>11</v>
      </c>
      <c r="B153" s="27">
        <v>1340.4</v>
      </c>
      <c r="C153" s="28">
        <v>760</v>
      </c>
      <c r="D153" s="27">
        <v>1146.71</v>
      </c>
      <c r="E153" s="27">
        <v>1340.4</v>
      </c>
      <c r="F153" s="27">
        <f>E153</f>
        <v>1340.4</v>
      </c>
      <c r="G153" s="28">
        <v>516.41999999999996</v>
      </c>
      <c r="H153" s="27">
        <v>769.95</v>
      </c>
      <c r="I153" s="90">
        <f t="shared" si="39"/>
        <v>0.57441808415398388</v>
      </c>
      <c r="J153" s="27">
        <f t="shared" si="40"/>
        <v>1340.4</v>
      </c>
      <c r="K153" s="27"/>
      <c r="L153" s="29">
        <f>F153-J153</f>
        <v>0</v>
      </c>
    </row>
    <row r="154" spans="1:12" hidden="1">
      <c r="A154" s="21" t="s">
        <v>12</v>
      </c>
      <c r="B154" s="27">
        <v>221.77</v>
      </c>
      <c r="C154" s="28">
        <v>5.22</v>
      </c>
      <c r="D154" s="27">
        <v>213.53</v>
      </c>
      <c r="E154" s="27">
        <v>221.77</v>
      </c>
      <c r="F154" s="27">
        <f>E154</f>
        <v>221.77</v>
      </c>
      <c r="G154" s="28">
        <v>3.06</v>
      </c>
      <c r="H154" s="27">
        <v>130.81</v>
      </c>
      <c r="I154" s="90">
        <f t="shared" si="39"/>
        <v>0.58984533525724847</v>
      </c>
      <c r="J154" s="27">
        <f t="shared" si="40"/>
        <v>221.77</v>
      </c>
      <c r="K154" s="27"/>
      <c r="L154" s="29">
        <f>F154-J154</f>
        <v>0</v>
      </c>
    </row>
    <row r="155" spans="1:12" hidden="1">
      <c r="A155" s="23" t="s">
        <v>48</v>
      </c>
      <c r="B155" s="24">
        <f t="shared" ref="B155:H155" si="44">B156+B157+B158</f>
        <v>3479.71</v>
      </c>
      <c r="C155" s="25">
        <f t="shared" si="44"/>
        <v>1347.73</v>
      </c>
      <c r="D155" s="24">
        <f t="shared" si="44"/>
        <v>2791.48</v>
      </c>
      <c r="E155" s="24">
        <f t="shared" si="44"/>
        <v>3269.26</v>
      </c>
      <c r="F155" s="24">
        <f t="shared" si="44"/>
        <v>3269.26</v>
      </c>
      <c r="G155" s="25"/>
      <c r="H155" s="24">
        <f t="shared" si="44"/>
        <v>1433.45</v>
      </c>
      <c r="I155" s="89">
        <f t="shared" si="39"/>
        <v>0.43846313844723267</v>
      </c>
      <c r="J155" s="24">
        <f t="shared" si="40"/>
        <v>3269.26</v>
      </c>
      <c r="K155" s="24"/>
      <c r="L155" s="26">
        <f>L156+L157+L158</f>
        <v>0</v>
      </c>
    </row>
    <row r="156" spans="1:12" hidden="1">
      <c r="A156" s="21" t="s">
        <v>10</v>
      </c>
      <c r="B156" s="27">
        <v>565.55999999999995</v>
      </c>
      <c r="C156" s="28">
        <v>97.57</v>
      </c>
      <c r="D156" s="27">
        <v>524.91</v>
      </c>
      <c r="E156" s="27">
        <v>682.14</v>
      </c>
      <c r="F156" s="27">
        <f>E156</f>
        <v>682.14</v>
      </c>
      <c r="G156" s="28">
        <v>44.73</v>
      </c>
      <c r="H156" s="27">
        <v>191.9</v>
      </c>
      <c r="I156" s="90">
        <f t="shared" si="39"/>
        <v>0.28132055003371742</v>
      </c>
      <c r="J156" s="27">
        <f t="shared" si="40"/>
        <v>682.14</v>
      </c>
      <c r="K156" s="27"/>
      <c r="L156" s="29">
        <f>F156-J156</f>
        <v>0</v>
      </c>
    </row>
    <row r="157" spans="1:12" hidden="1">
      <c r="A157" s="21" t="s">
        <v>11</v>
      </c>
      <c r="B157" s="27">
        <v>2425.84</v>
      </c>
      <c r="C157" s="28">
        <v>1240</v>
      </c>
      <c r="D157" s="27">
        <v>1851.45</v>
      </c>
      <c r="E157" s="27">
        <v>2098.8000000000002</v>
      </c>
      <c r="F157" s="27">
        <f>E157</f>
        <v>2098.8000000000002</v>
      </c>
      <c r="G157" s="28">
        <v>723</v>
      </c>
      <c r="H157" s="27">
        <v>1049.6199999999999</v>
      </c>
      <c r="I157" s="90">
        <f t="shared" si="39"/>
        <v>0.50010482180293492</v>
      </c>
      <c r="J157" s="27">
        <f t="shared" si="40"/>
        <v>2098.8000000000002</v>
      </c>
      <c r="K157" s="27"/>
      <c r="L157" s="29">
        <f>F157-J157</f>
        <v>0</v>
      </c>
    </row>
    <row r="158" spans="1:12" hidden="1">
      <c r="A158" s="21" t="s">
        <v>12</v>
      </c>
      <c r="B158" s="27">
        <v>488.31</v>
      </c>
      <c r="C158" s="28">
        <v>10.16</v>
      </c>
      <c r="D158" s="27">
        <v>415.12</v>
      </c>
      <c r="E158" s="27">
        <v>488.32</v>
      </c>
      <c r="F158" s="27">
        <f>E158</f>
        <v>488.32</v>
      </c>
      <c r="G158" s="28">
        <v>5.45</v>
      </c>
      <c r="H158" s="27">
        <v>191.93</v>
      </c>
      <c r="I158" s="90">
        <f t="shared" si="39"/>
        <v>0.39304144823066844</v>
      </c>
      <c r="J158" s="27">
        <f t="shared" si="40"/>
        <v>488.32</v>
      </c>
      <c r="K158" s="27"/>
      <c r="L158" s="29">
        <f>F158-J158</f>
        <v>0</v>
      </c>
    </row>
    <row r="159" spans="1:12" hidden="1">
      <c r="A159" s="23" t="s">
        <v>49</v>
      </c>
      <c r="B159" s="24">
        <f t="shared" ref="B159:H159" si="45">B160+B161+B162</f>
        <v>3245.35</v>
      </c>
      <c r="C159" s="25">
        <f t="shared" si="45"/>
        <v>726.96</v>
      </c>
      <c r="D159" s="24">
        <f t="shared" si="45"/>
        <v>1429.75</v>
      </c>
      <c r="E159" s="24">
        <f t="shared" si="45"/>
        <v>2837.93</v>
      </c>
      <c r="F159" s="24">
        <f t="shared" si="45"/>
        <v>2837.93</v>
      </c>
      <c r="G159" s="25"/>
      <c r="H159" s="24">
        <f t="shared" si="45"/>
        <v>798.56</v>
      </c>
      <c r="I159" s="89">
        <f t="shared" si="39"/>
        <v>0.28138819491671746</v>
      </c>
      <c r="J159" s="24">
        <f>J160+J161+J162</f>
        <v>2637.93</v>
      </c>
      <c r="K159" s="24"/>
      <c r="L159" s="26">
        <f>L160+L161+L162</f>
        <v>200</v>
      </c>
    </row>
    <row r="160" spans="1:12" hidden="1">
      <c r="A160" s="21" t="s">
        <v>10</v>
      </c>
      <c r="B160" s="27">
        <v>279.86</v>
      </c>
      <c r="C160" s="28">
        <v>63.69</v>
      </c>
      <c r="D160" s="27">
        <v>309.45999999999998</v>
      </c>
      <c r="E160" s="27">
        <v>329.86</v>
      </c>
      <c r="F160" s="27">
        <f>E160</f>
        <v>329.86</v>
      </c>
      <c r="G160" s="28">
        <v>31.34</v>
      </c>
      <c r="H160" s="27">
        <v>129.74</v>
      </c>
      <c r="I160" s="90">
        <f t="shared" si="39"/>
        <v>0.39331837749348209</v>
      </c>
      <c r="J160" s="27">
        <f t="shared" si="40"/>
        <v>329.86</v>
      </c>
      <c r="K160" s="27"/>
      <c r="L160" s="29">
        <f>F160-J160</f>
        <v>0</v>
      </c>
    </row>
    <row r="161" spans="1:12" hidden="1">
      <c r="A161" s="21" t="s">
        <v>11</v>
      </c>
      <c r="B161" s="27">
        <v>2715.1</v>
      </c>
      <c r="C161" s="28">
        <v>660</v>
      </c>
      <c r="D161" s="27">
        <v>981.96</v>
      </c>
      <c r="E161" s="27">
        <v>2199.7199999999998</v>
      </c>
      <c r="F161" s="27">
        <f>E161</f>
        <v>2199.7199999999998</v>
      </c>
      <c r="G161" s="28">
        <v>414.9</v>
      </c>
      <c r="H161" s="27">
        <v>601.15</v>
      </c>
      <c r="I161" s="90">
        <f t="shared" si="39"/>
        <v>0.27328478169948905</v>
      </c>
      <c r="J161" s="27">
        <f>E161-200</f>
        <v>1999.7199999999998</v>
      </c>
      <c r="K161" s="27"/>
      <c r="L161" s="29">
        <f>F161-J161</f>
        <v>200</v>
      </c>
    </row>
    <row r="162" spans="1:12" hidden="1">
      <c r="A162" s="21" t="s">
        <v>12</v>
      </c>
      <c r="B162" s="27">
        <v>250.39</v>
      </c>
      <c r="C162" s="28">
        <v>3.27</v>
      </c>
      <c r="D162" s="27">
        <v>138.33000000000001</v>
      </c>
      <c r="E162" s="27">
        <v>308.35000000000002</v>
      </c>
      <c r="F162" s="27">
        <f>E162</f>
        <v>308.35000000000002</v>
      </c>
      <c r="G162" s="28">
        <v>1.94</v>
      </c>
      <c r="H162" s="27">
        <v>67.67</v>
      </c>
      <c r="I162" s="90">
        <f t="shared" si="39"/>
        <v>0.21945840765364033</v>
      </c>
      <c r="J162" s="27">
        <f t="shared" si="40"/>
        <v>308.35000000000002</v>
      </c>
      <c r="K162" s="27"/>
      <c r="L162" s="29">
        <f>F162-J162</f>
        <v>0</v>
      </c>
    </row>
    <row r="163" spans="1:12" hidden="1">
      <c r="A163" s="23" t="s">
        <v>65</v>
      </c>
      <c r="B163" s="24">
        <f t="shared" ref="B163:H163" si="46">B164+B165+B166</f>
        <v>2392.0500000000002</v>
      </c>
      <c r="C163" s="25"/>
      <c r="D163" s="24">
        <f t="shared" si="46"/>
        <v>1960.95</v>
      </c>
      <c r="E163" s="24">
        <f t="shared" si="46"/>
        <v>2454.2399999999998</v>
      </c>
      <c r="F163" s="24">
        <f t="shared" si="46"/>
        <v>2454.2399999999998</v>
      </c>
      <c r="G163" s="25"/>
      <c r="H163" s="24">
        <f t="shared" si="46"/>
        <v>998.56999999999994</v>
      </c>
      <c r="I163" s="89">
        <f t="shared" si="39"/>
        <v>0.40687544820392463</v>
      </c>
      <c r="J163" s="24">
        <f>J164+J165+J166</f>
        <v>2454.2399999999998</v>
      </c>
      <c r="K163" s="24"/>
      <c r="L163" s="26">
        <f>L164+L165+L166</f>
        <v>0</v>
      </c>
    </row>
    <row r="164" spans="1:12" hidden="1">
      <c r="A164" s="21" t="s">
        <v>10</v>
      </c>
      <c r="B164" s="28">
        <v>455.58</v>
      </c>
      <c r="C164" s="28">
        <f>120.7+47.85</f>
        <v>168.55</v>
      </c>
      <c r="D164" s="27">
        <f>629.7+1.8</f>
        <v>631.5</v>
      </c>
      <c r="E164" s="27">
        <v>913.24</v>
      </c>
      <c r="F164" s="27">
        <v>913.24</v>
      </c>
      <c r="G164" s="28">
        <v>55.3</v>
      </c>
      <c r="H164" s="27">
        <v>316.52999999999997</v>
      </c>
      <c r="I164" s="90">
        <f t="shared" si="39"/>
        <v>0.34660111252244752</v>
      </c>
      <c r="J164" s="27">
        <v>913.24</v>
      </c>
      <c r="K164" s="27"/>
      <c r="L164" s="29">
        <f>F164-J164</f>
        <v>0</v>
      </c>
    </row>
    <row r="165" spans="1:12" hidden="1">
      <c r="A165" s="21" t="s">
        <v>11</v>
      </c>
      <c r="B165" s="28">
        <v>1261.3800000000001</v>
      </c>
      <c r="C165" s="28">
        <f>636.8</f>
        <v>636.79999999999995</v>
      </c>
      <c r="D165" s="27">
        <v>903.9</v>
      </c>
      <c r="E165" s="27">
        <v>997.5</v>
      </c>
      <c r="F165" s="27">
        <v>997.5</v>
      </c>
      <c r="G165" s="28">
        <v>312.10000000000002</v>
      </c>
      <c r="H165" s="27">
        <v>465.33</v>
      </c>
      <c r="I165" s="90">
        <f t="shared" si="39"/>
        <v>0.46649624060150374</v>
      </c>
      <c r="J165" s="27">
        <v>997.5</v>
      </c>
      <c r="K165" s="27"/>
      <c r="L165" s="29">
        <f>F165-J165</f>
        <v>0</v>
      </c>
    </row>
    <row r="166" spans="1:12" hidden="1">
      <c r="A166" s="21" t="s">
        <v>12</v>
      </c>
      <c r="B166" s="28">
        <v>675.09</v>
      </c>
      <c r="C166" s="28">
        <v>12.5</v>
      </c>
      <c r="D166" s="27">
        <v>425.55</v>
      </c>
      <c r="E166" s="27">
        <v>543.5</v>
      </c>
      <c r="F166" s="27">
        <v>543.5</v>
      </c>
      <c r="G166" s="28">
        <v>5.0999999999999996</v>
      </c>
      <c r="H166" s="27">
        <v>216.71</v>
      </c>
      <c r="I166" s="90">
        <f t="shared" si="39"/>
        <v>0.39873045078196873</v>
      </c>
      <c r="J166" s="27">
        <v>543.5</v>
      </c>
      <c r="K166" s="27"/>
      <c r="L166" s="29">
        <f>F166-J166</f>
        <v>0</v>
      </c>
    </row>
    <row r="167" spans="1:12" ht="12" customHeight="1">
      <c r="A167" s="21"/>
      <c r="B167" s="27"/>
      <c r="C167" s="28"/>
      <c r="D167" s="27"/>
      <c r="E167" s="27"/>
      <c r="F167" s="27"/>
      <c r="G167" s="28"/>
      <c r="H167" s="27"/>
      <c r="I167" s="89"/>
      <c r="J167" s="27"/>
      <c r="K167" s="27"/>
      <c r="L167" s="29"/>
    </row>
    <row r="168" spans="1:12" s="17" customFormat="1" ht="22.5" customHeight="1">
      <c r="A168" s="15" t="s">
        <v>79</v>
      </c>
      <c r="B168" s="16">
        <f>B173+B177+B181+B185+B189+B193+B197+B209+B213+B217+B221+B201+B205+B225+B229+B233+B237+B241+B245+B249+B253</f>
        <v>71979.139999999985</v>
      </c>
      <c r="C168" s="16"/>
      <c r="D168" s="16">
        <f t="shared" ref="D168:L168" si="47">D173+D177+D181+D185+D189+D193+D197+D209+D213+D217+D221+D201+D205+D225+D229+D233+D237+D241+D245+D249+D253</f>
        <v>59206.722000000009</v>
      </c>
      <c r="E168" s="16">
        <f t="shared" si="47"/>
        <v>72028.092999999993</v>
      </c>
      <c r="F168" s="16">
        <f t="shared" si="47"/>
        <v>72028.092999999993</v>
      </c>
      <c r="G168" s="16"/>
      <c r="H168" s="16">
        <f t="shared" si="47"/>
        <v>34092.597999999998</v>
      </c>
      <c r="I168" s="86">
        <f t="shared" si="39"/>
        <v>0.47332362388103211</v>
      </c>
      <c r="J168" s="16">
        <f t="shared" si="47"/>
        <v>71014.122999999992</v>
      </c>
      <c r="K168" s="16">
        <f t="shared" si="47"/>
        <v>0</v>
      </c>
      <c r="L168" s="16">
        <f t="shared" si="47"/>
        <v>1013.9699999999998</v>
      </c>
    </row>
    <row r="169" spans="1:12" s="20" customFormat="1" ht="22.5" customHeight="1">
      <c r="A169" s="18" t="s">
        <v>10</v>
      </c>
      <c r="B169" s="19">
        <f>B174+B178+B182+B186+B190+B194+B198+B210+B214+B218+B222+B202+B206+B226+B230+B234+B238+B242+B246+B250+B254</f>
        <v>14799.4</v>
      </c>
      <c r="C169" s="19">
        <f t="shared" ref="C169:L171" si="48">C174+C178+C182+C186+C190+C194+C198+C210+C214+C218+C222+C202+C206+C226+C230+C234+C238+C242+C246+C250+C254</f>
        <v>2703.2739999999999</v>
      </c>
      <c r="D169" s="19">
        <f t="shared" si="48"/>
        <v>14202.564</v>
      </c>
      <c r="E169" s="19">
        <f t="shared" si="48"/>
        <v>15479.51</v>
      </c>
      <c r="F169" s="19">
        <f t="shared" si="48"/>
        <v>15479.51</v>
      </c>
      <c r="G169" s="19">
        <f t="shared" si="48"/>
        <v>1423.5610000000001</v>
      </c>
      <c r="H169" s="19">
        <f t="shared" si="48"/>
        <v>7020.4049999999997</v>
      </c>
      <c r="I169" s="87">
        <f t="shared" si="39"/>
        <v>0.45352889077238229</v>
      </c>
      <c r="J169" s="19">
        <f t="shared" si="48"/>
        <v>15556.580000000002</v>
      </c>
      <c r="K169" s="19">
        <f>E169-F169</f>
        <v>0</v>
      </c>
      <c r="L169" s="19">
        <f t="shared" si="48"/>
        <v>-77.069999999999993</v>
      </c>
    </row>
    <row r="170" spans="1:12" s="20" customFormat="1" ht="22.5" customHeight="1">
      <c r="A170" s="18" t="s">
        <v>11</v>
      </c>
      <c r="B170" s="19">
        <f>B175+B179+B183+B187+B191+B195+B199+B211+B215+B219+B223+B203+B207+B227+B231+B235+B239+B243+B247+B251+B255</f>
        <v>52357.62</v>
      </c>
      <c r="C170" s="19">
        <f t="shared" si="48"/>
        <v>27020.5</v>
      </c>
      <c r="D170" s="19">
        <f t="shared" si="48"/>
        <v>40144.328000000001</v>
      </c>
      <c r="E170" s="19">
        <f t="shared" si="48"/>
        <v>51860.443000000007</v>
      </c>
      <c r="F170" s="19">
        <f t="shared" si="48"/>
        <v>51860.443000000007</v>
      </c>
      <c r="G170" s="19">
        <f t="shared" si="48"/>
        <v>16448.694</v>
      </c>
      <c r="H170" s="19">
        <f t="shared" si="48"/>
        <v>24516.257999999998</v>
      </c>
      <c r="I170" s="87">
        <f t="shared" si="39"/>
        <v>0.47273522133237456</v>
      </c>
      <c r="J170" s="19">
        <f t="shared" si="48"/>
        <v>50734.243000000009</v>
      </c>
      <c r="K170" s="19">
        <f t="shared" ref="K170:K171" si="49">E170-F170</f>
        <v>0</v>
      </c>
      <c r="L170" s="19">
        <f t="shared" si="48"/>
        <v>1126.1999999999998</v>
      </c>
    </row>
    <row r="171" spans="1:12" s="20" customFormat="1" ht="22.5" customHeight="1">
      <c r="A171" s="18" t="s">
        <v>12</v>
      </c>
      <c r="B171" s="19">
        <f>B176+B180+B184+B188+B192+B196+B200+B212+B216+B220+B224+B204+B208+B228+B232+B236+B240+B244+B248+B252+B256</f>
        <v>4822.1200000000008</v>
      </c>
      <c r="C171" s="19">
        <f t="shared" si="48"/>
        <v>115.43199999999999</v>
      </c>
      <c r="D171" s="19">
        <f t="shared" si="48"/>
        <v>4859.8300000000008</v>
      </c>
      <c r="E171" s="19">
        <f t="shared" si="48"/>
        <v>4688.1400000000003</v>
      </c>
      <c r="F171" s="19">
        <f t="shared" si="48"/>
        <v>4688.1400000000003</v>
      </c>
      <c r="G171" s="19">
        <f t="shared" si="48"/>
        <v>59.056999999999995</v>
      </c>
      <c r="H171" s="19">
        <f t="shared" si="48"/>
        <v>2555.9349999999999</v>
      </c>
      <c r="I171" s="87">
        <f t="shared" si="39"/>
        <v>0.54519169649370536</v>
      </c>
      <c r="J171" s="19">
        <f t="shared" si="48"/>
        <v>4723.3</v>
      </c>
      <c r="K171" s="19">
        <f t="shared" si="49"/>
        <v>0</v>
      </c>
      <c r="L171" s="19">
        <f t="shared" si="48"/>
        <v>-35.159999999999997</v>
      </c>
    </row>
    <row r="172" spans="1:12" hidden="1">
      <c r="A172" s="21" t="s">
        <v>9</v>
      </c>
      <c r="B172" s="21"/>
      <c r="C172" s="22"/>
      <c r="D172" s="21"/>
      <c r="E172" s="21"/>
      <c r="F172" s="21"/>
      <c r="G172" s="22"/>
      <c r="H172" s="21"/>
      <c r="I172" s="89"/>
      <c r="J172" s="21"/>
      <c r="K172" s="21"/>
      <c r="L172" s="29"/>
    </row>
    <row r="173" spans="1:12" s="20" customFormat="1" hidden="1">
      <c r="A173" s="23" t="s">
        <v>50</v>
      </c>
      <c r="B173" s="24">
        <f>B174+B175+B176</f>
        <v>2651.79</v>
      </c>
      <c r="C173" s="25"/>
      <c r="D173" s="24">
        <f>D174+D175+D176</f>
        <v>2148.9479999999999</v>
      </c>
      <c r="E173" s="24">
        <f>E174+E175+E176</f>
        <v>2716.16</v>
      </c>
      <c r="F173" s="24">
        <f>F174+F175+F176</f>
        <v>2716.16</v>
      </c>
      <c r="G173" s="25"/>
      <c r="H173" s="24">
        <f>H174+H175+H176</f>
        <v>1660.845</v>
      </c>
      <c r="I173" s="89">
        <f t="shared" si="39"/>
        <v>0.6114680283930255</v>
      </c>
      <c r="J173" s="24">
        <f>J174+J175+J176</f>
        <v>2716.16</v>
      </c>
      <c r="K173" s="24"/>
      <c r="L173" s="24">
        <f>L174+L175+L176</f>
        <v>0</v>
      </c>
    </row>
    <row r="174" spans="1:12" hidden="1">
      <c r="A174" s="21" t="s">
        <v>10</v>
      </c>
      <c r="B174" s="27">
        <v>411.96</v>
      </c>
      <c r="C174" s="28">
        <v>100.496</v>
      </c>
      <c r="D174" s="27">
        <v>541.20100000000002</v>
      </c>
      <c r="E174" s="27">
        <v>421.98</v>
      </c>
      <c r="F174" s="27">
        <v>421.98</v>
      </c>
      <c r="G174" s="28">
        <v>51.301000000000002</v>
      </c>
      <c r="H174" s="27">
        <v>277.16800000000001</v>
      </c>
      <c r="I174" s="90">
        <f t="shared" si="39"/>
        <v>0.65682733778852076</v>
      </c>
      <c r="J174" s="27">
        <f>E174</f>
        <v>421.98</v>
      </c>
      <c r="K174" s="27"/>
      <c r="L174" s="29">
        <f>F174-J174</f>
        <v>0</v>
      </c>
    </row>
    <row r="175" spans="1:12" hidden="1">
      <c r="A175" s="21" t="s">
        <v>11</v>
      </c>
      <c r="B175" s="27">
        <v>2124.66</v>
      </c>
      <c r="C175" s="28">
        <v>931.9</v>
      </c>
      <c r="D175" s="27">
        <v>1389.452</v>
      </c>
      <c r="E175" s="27">
        <v>2126.33</v>
      </c>
      <c r="F175" s="27">
        <v>2126.33</v>
      </c>
      <c r="G175" s="28">
        <v>848.9</v>
      </c>
      <c r="H175" s="27">
        <v>1265.6600000000001</v>
      </c>
      <c r="I175" s="90">
        <f t="shared" si="39"/>
        <v>0.59523216057714468</v>
      </c>
      <c r="J175" s="27">
        <f t="shared" ref="J175:J224" si="50">E175</f>
        <v>2126.33</v>
      </c>
      <c r="K175" s="27"/>
      <c r="L175" s="29">
        <f>F175-J175</f>
        <v>0</v>
      </c>
    </row>
    <row r="176" spans="1:12" hidden="1">
      <c r="A176" s="21" t="s">
        <v>12</v>
      </c>
      <c r="B176" s="27">
        <v>115.17</v>
      </c>
      <c r="C176" s="28">
        <v>5.3719999999999999</v>
      </c>
      <c r="D176" s="27">
        <v>218.29499999999999</v>
      </c>
      <c r="E176" s="27">
        <v>167.85</v>
      </c>
      <c r="F176" s="27">
        <v>167.85</v>
      </c>
      <c r="G176" s="28">
        <v>2.7679999999999998</v>
      </c>
      <c r="H176" s="27">
        <v>118.017</v>
      </c>
      <c r="I176" s="90">
        <f t="shared" si="39"/>
        <v>0.70310991957104563</v>
      </c>
      <c r="J176" s="27">
        <f t="shared" si="50"/>
        <v>167.85</v>
      </c>
      <c r="K176" s="27"/>
      <c r="L176" s="29">
        <f>F176-J176</f>
        <v>0</v>
      </c>
    </row>
    <row r="177" spans="1:12" s="20" customFormat="1" hidden="1">
      <c r="A177" s="23" t="s">
        <v>51</v>
      </c>
      <c r="B177" s="24">
        <f t="shared" ref="B177:H177" si="51">B178+B179+B180</f>
        <v>3099.3399999999997</v>
      </c>
      <c r="C177" s="25"/>
      <c r="D177" s="24">
        <f t="shared" si="51"/>
        <v>2233.9850000000001</v>
      </c>
      <c r="E177" s="24">
        <f>E178+E179+E180</f>
        <v>2935.1350000000002</v>
      </c>
      <c r="F177" s="24">
        <f t="shared" si="51"/>
        <v>2935.1350000000002</v>
      </c>
      <c r="G177" s="25"/>
      <c r="H177" s="24">
        <f t="shared" si="51"/>
        <v>1297.643</v>
      </c>
      <c r="I177" s="89">
        <f t="shared" si="39"/>
        <v>0.44210675147821138</v>
      </c>
      <c r="J177" s="24">
        <f>J178+J179+J180</f>
        <v>2935.1350000000002</v>
      </c>
      <c r="K177" s="24"/>
      <c r="L177" s="24">
        <f>L178+L179+L180</f>
        <v>0</v>
      </c>
    </row>
    <row r="178" spans="1:12" hidden="1">
      <c r="A178" s="21" t="s">
        <v>10</v>
      </c>
      <c r="B178" s="27">
        <v>839.58</v>
      </c>
      <c r="C178" s="28">
        <v>90.24</v>
      </c>
      <c r="D178" s="27">
        <v>477.904</v>
      </c>
      <c r="E178" s="27">
        <v>860</v>
      </c>
      <c r="F178" s="27">
        <v>860</v>
      </c>
      <c r="G178" s="28">
        <v>53.56</v>
      </c>
      <c r="H178" s="27">
        <v>288.233</v>
      </c>
      <c r="I178" s="90">
        <f t="shared" si="39"/>
        <v>0.3351546511627907</v>
      </c>
      <c r="J178" s="27">
        <f t="shared" si="50"/>
        <v>860</v>
      </c>
      <c r="K178" s="27"/>
      <c r="L178" s="29">
        <f>F178-J178</f>
        <v>0</v>
      </c>
    </row>
    <row r="179" spans="1:12" hidden="1">
      <c r="A179" s="21" t="s">
        <v>11</v>
      </c>
      <c r="B179" s="27">
        <v>2173.87</v>
      </c>
      <c r="C179" s="28">
        <v>1076.06</v>
      </c>
      <c r="D179" s="27">
        <v>1604.393</v>
      </c>
      <c r="E179" s="27">
        <v>1987.2550000000001</v>
      </c>
      <c r="F179" s="27">
        <v>1987.2550000000001</v>
      </c>
      <c r="G179" s="28">
        <v>618.4</v>
      </c>
      <c r="H179" s="27">
        <v>921.99800000000005</v>
      </c>
      <c r="I179" s="90">
        <f t="shared" si="39"/>
        <v>0.46395555678561634</v>
      </c>
      <c r="J179" s="27">
        <f t="shared" si="50"/>
        <v>1987.2550000000001</v>
      </c>
      <c r="K179" s="27"/>
      <c r="L179" s="29">
        <f>F179-J179</f>
        <v>0</v>
      </c>
    </row>
    <row r="180" spans="1:12" hidden="1">
      <c r="A180" s="21" t="s">
        <v>12</v>
      </c>
      <c r="B180" s="27">
        <v>85.89</v>
      </c>
      <c r="C180" s="28">
        <v>3.7309999999999999</v>
      </c>
      <c r="D180" s="27">
        <v>151.68799999999999</v>
      </c>
      <c r="E180" s="27">
        <v>87.88</v>
      </c>
      <c r="F180" s="27">
        <v>87.88</v>
      </c>
      <c r="G180" s="28">
        <v>2.0499999999999998</v>
      </c>
      <c r="H180" s="27">
        <v>87.412000000000006</v>
      </c>
      <c r="I180" s="90">
        <f t="shared" si="39"/>
        <v>0.99467455621301792</v>
      </c>
      <c r="J180" s="27">
        <f t="shared" si="50"/>
        <v>87.88</v>
      </c>
      <c r="K180" s="27"/>
      <c r="L180" s="29">
        <f>F180-J180</f>
        <v>0</v>
      </c>
    </row>
    <row r="181" spans="1:12" s="20" customFormat="1" hidden="1">
      <c r="A181" s="23" t="s">
        <v>52</v>
      </c>
      <c r="B181" s="24">
        <f t="shared" ref="B181:H181" si="52">B182+B183+B184</f>
        <v>2383.2399999999998</v>
      </c>
      <c r="C181" s="25"/>
      <c r="D181" s="24">
        <f t="shared" si="52"/>
        <v>2051.5880000000002</v>
      </c>
      <c r="E181" s="24">
        <f t="shared" si="52"/>
        <v>2441.09</v>
      </c>
      <c r="F181" s="24">
        <f t="shared" si="52"/>
        <v>2441.09</v>
      </c>
      <c r="G181" s="25"/>
      <c r="H181" s="24">
        <f t="shared" si="52"/>
        <v>1160.2429999999999</v>
      </c>
      <c r="I181" s="89">
        <f t="shared" si="39"/>
        <v>0.47529710088526023</v>
      </c>
      <c r="J181" s="24">
        <f>J182+J183+J184</f>
        <v>2441.09</v>
      </c>
      <c r="K181" s="24"/>
      <c r="L181" s="24">
        <f>L182+L183+L184</f>
        <v>0</v>
      </c>
    </row>
    <row r="182" spans="1:12" hidden="1">
      <c r="A182" s="21" t="s">
        <v>10</v>
      </c>
      <c r="B182" s="27">
        <v>636.52</v>
      </c>
      <c r="C182" s="28">
        <v>82.86</v>
      </c>
      <c r="D182" s="27">
        <v>446.988</v>
      </c>
      <c r="E182" s="27">
        <v>652</v>
      </c>
      <c r="F182" s="27">
        <v>652</v>
      </c>
      <c r="G182" s="28">
        <v>47.46</v>
      </c>
      <c r="H182" s="27">
        <v>254.678</v>
      </c>
      <c r="I182" s="90">
        <f t="shared" si="39"/>
        <v>0.39061042944785274</v>
      </c>
      <c r="J182" s="27">
        <f t="shared" si="50"/>
        <v>652</v>
      </c>
      <c r="K182" s="27"/>
      <c r="L182" s="29">
        <f>F182-J182</f>
        <v>0</v>
      </c>
    </row>
    <row r="183" spans="1:12" hidden="1">
      <c r="A183" s="21" t="s">
        <v>11</v>
      </c>
      <c r="B183" s="27">
        <v>1640.08</v>
      </c>
      <c r="C183" s="28">
        <v>974.92</v>
      </c>
      <c r="D183" s="27">
        <v>1453.595</v>
      </c>
      <c r="E183" s="27">
        <v>1679.98</v>
      </c>
      <c r="F183" s="27">
        <v>1679.98</v>
      </c>
      <c r="G183" s="28">
        <v>576.71</v>
      </c>
      <c r="H183" s="27">
        <v>859.85500000000002</v>
      </c>
      <c r="I183" s="90">
        <f t="shared" si="39"/>
        <v>0.51182454553030399</v>
      </c>
      <c r="J183" s="27">
        <f t="shared" si="50"/>
        <v>1679.98</v>
      </c>
      <c r="K183" s="27"/>
      <c r="L183" s="29">
        <f>F183-J183</f>
        <v>0</v>
      </c>
    </row>
    <row r="184" spans="1:12" hidden="1">
      <c r="A184" s="21" t="s">
        <v>12</v>
      </c>
      <c r="B184" s="27">
        <v>106.64</v>
      </c>
      <c r="C184" s="28">
        <v>3.7490000000000001</v>
      </c>
      <c r="D184" s="27">
        <v>151.005</v>
      </c>
      <c r="E184" s="27">
        <v>109.11</v>
      </c>
      <c r="F184" s="27">
        <v>109.11</v>
      </c>
      <c r="G184" s="28">
        <v>1.0720000000000001</v>
      </c>
      <c r="H184" s="27">
        <v>45.71</v>
      </c>
      <c r="I184" s="90">
        <f t="shared" si="39"/>
        <v>0.418935019704885</v>
      </c>
      <c r="J184" s="27">
        <f t="shared" si="50"/>
        <v>109.11</v>
      </c>
      <c r="K184" s="27"/>
      <c r="L184" s="29">
        <f>F184-J184</f>
        <v>0</v>
      </c>
    </row>
    <row r="185" spans="1:12" s="20" customFormat="1" hidden="1">
      <c r="A185" s="23" t="s">
        <v>53</v>
      </c>
      <c r="B185" s="24">
        <f t="shared" ref="B185:H185" si="53">B186+B187+B188</f>
        <v>2773.1099999999997</v>
      </c>
      <c r="C185" s="25"/>
      <c r="D185" s="24">
        <f t="shared" si="53"/>
        <v>2373.4660000000003</v>
      </c>
      <c r="E185" s="24">
        <f t="shared" si="53"/>
        <v>2820.31</v>
      </c>
      <c r="F185" s="24">
        <f t="shared" si="53"/>
        <v>2820.31</v>
      </c>
      <c r="G185" s="25"/>
      <c r="H185" s="24">
        <f t="shared" si="53"/>
        <v>1213.8440000000001</v>
      </c>
      <c r="I185" s="89">
        <f t="shared" si="39"/>
        <v>0.43039382195574249</v>
      </c>
      <c r="J185" s="24">
        <f>J186+J187+J188</f>
        <v>2820.31</v>
      </c>
      <c r="K185" s="24"/>
      <c r="L185" s="24">
        <f>L186+L187+L188</f>
        <v>0</v>
      </c>
    </row>
    <row r="186" spans="1:12" hidden="1">
      <c r="A186" s="21" t="s">
        <v>10</v>
      </c>
      <c r="B186" s="27">
        <v>866.92</v>
      </c>
      <c r="C186" s="28">
        <v>63.91</v>
      </c>
      <c r="D186" s="27">
        <v>339.16699999999997</v>
      </c>
      <c r="E186" s="27">
        <v>888</v>
      </c>
      <c r="F186" s="27">
        <v>888</v>
      </c>
      <c r="G186" s="28">
        <v>31.21</v>
      </c>
      <c r="H186" s="27">
        <v>167.37899999999999</v>
      </c>
      <c r="I186" s="90">
        <f t="shared" si="39"/>
        <v>0.18848986486486485</v>
      </c>
      <c r="J186" s="27">
        <f t="shared" si="50"/>
        <v>888</v>
      </c>
      <c r="K186" s="27"/>
      <c r="L186" s="29">
        <f>F186-J186</f>
        <v>0</v>
      </c>
    </row>
    <row r="187" spans="1:12" hidden="1">
      <c r="A187" s="21" t="s">
        <v>11</v>
      </c>
      <c r="B187" s="27">
        <v>1816.03</v>
      </c>
      <c r="C187" s="28">
        <v>1280.97</v>
      </c>
      <c r="D187" s="27">
        <v>1909.912</v>
      </c>
      <c r="E187" s="27">
        <v>1839.95</v>
      </c>
      <c r="F187" s="27">
        <v>1839.95</v>
      </c>
      <c r="G187" s="28">
        <v>658.75</v>
      </c>
      <c r="H187" s="27">
        <v>982.16200000000003</v>
      </c>
      <c r="I187" s="90">
        <f t="shared" si="39"/>
        <v>0.53379820103807174</v>
      </c>
      <c r="J187" s="27">
        <f t="shared" si="50"/>
        <v>1839.95</v>
      </c>
      <c r="K187" s="27"/>
      <c r="L187" s="29">
        <f>F187-J187</f>
        <v>0</v>
      </c>
    </row>
    <row r="188" spans="1:12" hidden="1">
      <c r="A188" s="21" t="s">
        <v>12</v>
      </c>
      <c r="B188" s="27">
        <v>90.16</v>
      </c>
      <c r="C188" s="28">
        <v>3.052</v>
      </c>
      <c r="D188" s="27">
        <v>124.387</v>
      </c>
      <c r="E188" s="27">
        <v>92.36</v>
      </c>
      <c r="F188" s="27">
        <v>92.36</v>
      </c>
      <c r="G188" s="28">
        <v>1.508</v>
      </c>
      <c r="H188" s="27">
        <v>64.302999999999997</v>
      </c>
      <c r="I188" s="90">
        <f t="shared" si="39"/>
        <v>0.69622130792550885</v>
      </c>
      <c r="J188" s="27">
        <f t="shared" si="50"/>
        <v>92.36</v>
      </c>
      <c r="K188" s="27"/>
      <c r="L188" s="29">
        <f>F188-J188</f>
        <v>0</v>
      </c>
    </row>
    <row r="189" spans="1:12" s="20" customFormat="1" hidden="1">
      <c r="A189" s="23" t="s">
        <v>54</v>
      </c>
      <c r="B189" s="24">
        <f t="shared" ref="B189:H189" si="54">B190+B191+B192</f>
        <v>1733.17</v>
      </c>
      <c r="C189" s="25"/>
      <c r="D189" s="24">
        <f t="shared" si="54"/>
        <v>1684.1470000000002</v>
      </c>
      <c r="E189" s="24">
        <f t="shared" si="54"/>
        <v>2187.5309999999999</v>
      </c>
      <c r="F189" s="24">
        <f t="shared" si="54"/>
        <v>2187.5309999999999</v>
      </c>
      <c r="G189" s="25"/>
      <c r="H189" s="24">
        <f t="shared" si="54"/>
        <v>1113.0029999999999</v>
      </c>
      <c r="I189" s="89">
        <f t="shared" si="39"/>
        <v>0.50879416108845998</v>
      </c>
      <c r="J189" s="24">
        <f>J190+J191+J192</f>
        <v>2187.5309999999999</v>
      </c>
      <c r="K189" s="24"/>
      <c r="L189" s="24">
        <f>L190+L191+L192</f>
        <v>0</v>
      </c>
    </row>
    <row r="190" spans="1:12" hidden="1">
      <c r="A190" s="21" t="s">
        <v>10</v>
      </c>
      <c r="B190" s="27">
        <v>372.94</v>
      </c>
      <c r="C190" s="28">
        <v>55.04</v>
      </c>
      <c r="D190" s="27">
        <v>287.18</v>
      </c>
      <c r="E190" s="27">
        <v>508.1</v>
      </c>
      <c r="F190" s="27">
        <v>508.1</v>
      </c>
      <c r="G190" s="28">
        <v>33.529000000000003</v>
      </c>
      <c r="H190" s="27">
        <v>191.72</v>
      </c>
      <c r="I190" s="90">
        <f t="shared" si="39"/>
        <v>0.3773272977760283</v>
      </c>
      <c r="J190" s="27">
        <f t="shared" si="50"/>
        <v>508.1</v>
      </c>
      <c r="K190" s="27"/>
      <c r="L190" s="29">
        <f>F190-J190</f>
        <v>0</v>
      </c>
    </row>
    <row r="191" spans="1:12" hidden="1">
      <c r="A191" s="21" t="s">
        <v>11</v>
      </c>
      <c r="B191" s="27">
        <v>1282.24</v>
      </c>
      <c r="C191" s="28">
        <v>801.47</v>
      </c>
      <c r="D191" s="27">
        <v>1194.979</v>
      </c>
      <c r="E191" s="27">
        <v>1599.5509999999999</v>
      </c>
      <c r="F191" s="27">
        <v>1599.5509999999999</v>
      </c>
      <c r="G191" s="28">
        <v>570.70000000000005</v>
      </c>
      <c r="H191" s="27">
        <v>850.88</v>
      </c>
      <c r="I191" s="90">
        <f t="shared" si="39"/>
        <v>0.53194927826621352</v>
      </c>
      <c r="J191" s="27">
        <f t="shared" si="50"/>
        <v>1599.5509999999999</v>
      </c>
      <c r="K191" s="27"/>
      <c r="L191" s="29">
        <f>F191-J191</f>
        <v>0</v>
      </c>
    </row>
    <row r="192" spans="1:12" hidden="1">
      <c r="A192" s="21" t="s">
        <v>12</v>
      </c>
      <c r="B192" s="27">
        <v>77.989999999999995</v>
      </c>
      <c r="C192" s="28">
        <v>4.9260000000000002</v>
      </c>
      <c r="D192" s="27">
        <v>201.988</v>
      </c>
      <c r="E192" s="27">
        <v>79.88</v>
      </c>
      <c r="F192" s="27">
        <v>79.88</v>
      </c>
      <c r="G192" s="28">
        <v>1.651</v>
      </c>
      <c r="H192" s="27">
        <v>70.403000000000006</v>
      </c>
      <c r="I192" s="90">
        <f t="shared" si="39"/>
        <v>0.8813595393089636</v>
      </c>
      <c r="J192" s="27">
        <f t="shared" si="50"/>
        <v>79.88</v>
      </c>
      <c r="K192" s="27"/>
      <c r="L192" s="29">
        <f>F192-J192</f>
        <v>0</v>
      </c>
    </row>
    <row r="193" spans="1:12" s="20" customFormat="1" hidden="1">
      <c r="A193" s="23" t="s">
        <v>55</v>
      </c>
      <c r="B193" s="24">
        <f t="shared" ref="B193:H193" si="55">B194+B195+B196</f>
        <v>2940.9700000000003</v>
      </c>
      <c r="C193" s="25"/>
      <c r="D193" s="24">
        <f t="shared" si="55"/>
        <v>2550.1380000000004</v>
      </c>
      <c r="E193" s="24">
        <f t="shared" si="55"/>
        <v>3012.47</v>
      </c>
      <c r="F193" s="24">
        <f t="shared" si="55"/>
        <v>3012.47</v>
      </c>
      <c r="G193" s="25"/>
      <c r="H193" s="24">
        <f t="shared" si="55"/>
        <v>1594.203</v>
      </c>
      <c r="I193" s="89">
        <f t="shared" si="39"/>
        <v>0.52920128665181732</v>
      </c>
      <c r="J193" s="24">
        <f>J194+J195+J196</f>
        <v>3012.47</v>
      </c>
      <c r="K193" s="24"/>
      <c r="L193" s="24">
        <f>L194+L195+L196</f>
        <v>0</v>
      </c>
    </row>
    <row r="194" spans="1:12" hidden="1">
      <c r="A194" s="21" t="s">
        <v>10</v>
      </c>
      <c r="B194" s="27">
        <v>663.86</v>
      </c>
      <c r="C194" s="28">
        <v>117.64</v>
      </c>
      <c r="D194" s="27">
        <v>639.12300000000005</v>
      </c>
      <c r="E194" s="27">
        <v>680.01</v>
      </c>
      <c r="F194" s="27">
        <v>680.01</v>
      </c>
      <c r="G194" s="28">
        <v>56.4</v>
      </c>
      <c r="H194" s="27">
        <v>302.00799999999998</v>
      </c>
      <c r="I194" s="90">
        <f t="shared" si="39"/>
        <v>0.44412288054587429</v>
      </c>
      <c r="J194" s="27">
        <f t="shared" si="50"/>
        <v>680.01</v>
      </c>
      <c r="K194" s="27"/>
      <c r="L194" s="29">
        <f>F194-J194</f>
        <v>0</v>
      </c>
    </row>
    <row r="195" spans="1:12" hidden="1">
      <c r="A195" s="21" t="s">
        <v>11</v>
      </c>
      <c r="B195" s="27">
        <v>2161.94</v>
      </c>
      <c r="C195" s="28">
        <v>1183.4000000000001</v>
      </c>
      <c r="D195" s="27">
        <v>1764.4359999999999</v>
      </c>
      <c r="E195" s="27">
        <v>2214.52</v>
      </c>
      <c r="F195" s="27">
        <v>2214.52</v>
      </c>
      <c r="G195" s="28">
        <v>808.39</v>
      </c>
      <c r="H195" s="27">
        <v>1205.2619999999999</v>
      </c>
      <c r="I195" s="90">
        <f t="shared" si="39"/>
        <v>0.54425428535303355</v>
      </c>
      <c r="J195" s="27">
        <f t="shared" si="50"/>
        <v>2214.52</v>
      </c>
      <c r="K195" s="27"/>
      <c r="L195" s="29">
        <f>F195-J195</f>
        <v>0</v>
      </c>
    </row>
    <row r="196" spans="1:12" hidden="1">
      <c r="A196" s="21" t="s">
        <v>12</v>
      </c>
      <c r="B196" s="27">
        <v>115.17</v>
      </c>
      <c r="C196" s="28">
        <v>3.5790000000000002</v>
      </c>
      <c r="D196" s="27">
        <v>146.57900000000001</v>
      </c>
      <c r="E196" s="27">
        <v>117.94</v>
      </c>
      <c r="F196" s="27">
        <v>117.94</v>
      </c>
      <c r="G196" s="28">
        <v>2.0390000000000001</v>
      </c>
      <c r="H196" s="27">
        <v>86.933000000000007</v>
      </c>
      <c r="I196" s="90">
        <f t="shared" si="39"/>
        <v>0.73709513311853492</v>
      </c>
      <c r="J196" s="27">
        <f t="shared" si="50"/>
        <v>117.94</v>
      </c>
      <c r="K196" s="27"/>
      <c r="L196" s="29">
        <f>F196-J196</f>
        <v>0</v>
      </c>
    </row>
    <row r="197" spans="1:12" s="20" customFormat="1" hidden="1">
      <c r="A197" s="23" t="s">
        <v>56</v>
      </c>
      <c r="B197" s="24">
        <f t="shared" ref="B197:H197" si="56">B198+B199+B200</f>
        <v>3231.2700000000004</v>
      </c>
      <c r="C197" s="25"/>
      <c r="D197" s="24">
        <f t="shared" si="56"/>
        <v>2588.2139999999999</v>
      </c>
      <c r="E197" s="24">
        <f t="shared" si="56"/>
        <v>3109.83</v>
      </c>
      <c r="F197" s="24">
        <f t="shared" si="56"/>
        <v>3109.83</v>
      </c>
      <c r="G197" s="25"/>
      <c r="H197" s="24">
        <f t="shared" si="56"/>
        <v>1612.3979999999999</v>
      </c>
      <c r="I197" s="89">
        <f t="shared" si="39"/>
        <v>0.51848429013804609</v>
      </c>
      <c r="J197" s="24">
        <f>J198+J199+J200</f>
        <v>3109.83</v>
      </c>
      <c r="K197" s="24"/>
      <c r="L197" s="24">
        <f>L198+L199+L200</f>
        <v>0</v>
      </c>
    </row>
    <row r="198" spans="1:12" hidden="1">
      <c r="A198" s="21" t="s">
        <v>10</v>
      </c>
      <c r="B198" s="27">
        <v>493.98</v>
      </c>
      <c r="C198" s="28">
        <v>105.34399999999999</v>
      </c>
      <c r="D198" s="27">
        <v>513.41300000000001</v>
      </c>
      <c r="E198" s="27">
        <v>505.99</v>
      </c>
      <c r="F198" s="27">
        <v>505.99</v>
      </c>
      <c r="G198" s="28">
        <v>53.28</v>
      </c>
      <c r="H198" s="27">
        <v>286.19200000000001</v>
      </c>
      <c r="I198" s="90">
        <f t="shared" si="39"/>
        <v>0.56560801596869503</v>
      </c>
      <c r="J198" s="27">
        <f t="shared" si="50"/>
        <v>505.99</v>
      </c>
      <c r="K198" s="27"/>
      <c r="L198" s="29">
        <f>F198-J198</f>
        <v>0</v>
      </c>
    </row>
    <row r="199" spans="1:12" hidden="1">
      <c r="A199" s="21" t="s">
        <v>11</v>
      </c>
      <c r="B199" s="27">
        <v>2519.7800000000002</v>
      </c>
      <c r="C199" s="28">
        <v>1302.8900000000001</v>
      </c>
      <c r="D199" s="27">
        <v>1941.056</v>
      </c>
      <c r="E199" s="27">
        <v>2381.0500000000002</v>
      </c>
      <c r="F199" s="27">
        <v>2381.0500000000002</v>
      </c>
      <c r="G199" s="28">
        <f>570.943+259</f>
        <v>829.94299999999998</v>
      </c>
      <c r="H199" s="27">
        <v>1239.396</v>
      </c>
      <c r="I199" s="90">
        <f t="shared" si="39"/>
        <v>0.52052497847588242</v>
      </c>
      <c r="J199" s="27">
        <f t="shared" si="50"/>
        <v>2381.0500000000002</v>
      </c>
      <c r="K199" s="27"/>
      <c r="L199" s="29">
        <f>F199-J199</f>
        <v>0</v>
      </c>
    </row>
    <row r="200" spans="1:12" hidden="1">
      <c r="A200" s="21" t="s">
        <v>12</v>
      </c>
      <c r="B200" s="27">
        <v>217.51</v>
      </c>
      <c r="C200" s="28">
        <v>3.28</v>
      </c>
      <c r="D200" s="27">
        <v>133.745</v>
      </c>
      <c r="E200" s="27">
        <v>222.79</v>
      </c>
      <c r="F200" s="27">
        <v>222.79</v>
      </c>
      <c r="G200" s="28">
        <v>1.9359999999999999</v>
      </c>
      <c r="H200" s="27">
        <v>86.81</v>
      </c>
      <c r="I200" s="90">
        <f t="shared" si="39"/>
        <v>0.38964944566632259</v>
      </c>
      <c r="J200" s="27">
        <f t="shared" si="50"/>
        <v>222.79</v>
      </c>
      <c r="K200" s="27"/>
      <c r="L200" s="29">
        <f>F200-J200</f>
        <v>0</v>
      </c>
    </row>
    <row r="201" spans="1:12" s="20" customFormat="1" hidden="1">
      <c r="A201" s="23" t="s">
        <v>57</v>
      </c>
      <c r="B201" s="24">
        <f t="shared" ref="B201:H201" si="57">B202+B203+B204</f>
        <v>3158.28</v>
      </c>
      <c r="C201" s="25"/>
      <c r="D201" s="24">
        <f t="shared" si="57"/>
        <v>2485.3510000000001</v>
      </c>
      <c r="E201" s="24">
        <f t="shared" si="57"/>
        <v>3235.0699999999997</v>
      </c>
      <c r="F201" s="24">
        <f t="shared" si="57"/>
        <v>3235.0699999999997</v>
      </c>
      <c r="G201" s="25"/>
      <c r="H201" s="24">
        <f t="shared" si="57"/>
        <v>1342.0049999999999</v>
      </c>
      <c r="I201" s="89">
        <f t="shared" si="39"/>
        <v>0.41483028187952659</v>
      </c>
      <c r="J201" s="24">
        <f>J202+J203+J204</f>
        <v>3235.0699999999997</v>
      </c>
      <c r="K201" s="24"/>
      <c r="L201" s="24">
        <f>L202+L203+L204</f>
        <v>0</v>
      </c>
    </row>
    <row r="202" spans="1:12" hidden="1">
      <c r="A202" s="21" t="s">
        <v>10</v>
      </c>
      <c r="B202" s="27">
        <v>257.74</v>
      </c>
      <c r="C202" s="28">
        <v>61.529000000000003</v>
      </c>
      <c r="D202" s="27">
        <v>327.93400000000003</v>
      </c>
      <c r="E202" s="27">
        <v>264.01</v>
      </c>
      <c r="F202" s="27">
        <v>264.01</v>
      </c>
      <c r="G202" s="28">
        <v>30.48</v>
      </c>
      <c r="H202" s="27">
        <v>164.119</v>
      </c>
      <c r="I202" s="90">
        <f t="shared" si="39"/>
        <v>0.62163933184349085</v>
      </c>
      <c r="J202" s="27">
        <f t="shared" si="50"/>
        <v>264.01</v>
      </c>
      <c r="K202" s="27"/>
      <c r="L202" s="29">
        <f>F202-J202</f>
        <v>0</v>
      </c>
    </row>
    <row r="203" spans="1:12" hidden="1">
      <c r="A203" s="21" t="s">
        <v>11</v>
      </c>
      <c r="B203" s="27">
        <v>2789.64</v>
      </c>
      <c r="C203" s="28">
        <v>1365.67</v>
      </c>
      <c r="D203" s="27">
        <v>2036.192</v>
      </c>
      <c r="E203" s="27">
        <v>2857.48</v>
      </c>
      <c r="F203" s="27">
        <v>2857.48</v>
      </c>
      <c r="G203" s="28">
        <v>750.5</v>
      </c>
      <c r="H203" s="27">
        <v>1118.951</v>
      </c>
      <c r="I203" s="90">
        <f t="shared" si="39"/>
        <v>0.3915866427761524</v>
      </c>
      <c r="J203" s="27">
        <f t="shared" si="50"/>
        <v>2857.48</v>
      </c>
      <c r="K203" s="27"/>
      <c r="L203" s="29">
        <f>F203-J203</f>
        <v>0</v>
      </c>
    </row>
    <row r="204" spans="1:12" hidden="1">
      <c r="A204" s="21" t="s">
        <v>12</v>
      </c>
      <c r="B204" s="27">
        <v>110.9</v>
      </c>
      <c r="C204" s="28">
        <v>2.9950000000000001</v>
      </c>
      <c r="D204" s="27">
        <v>121.22499999999999</v>
      </c>
      <c r="E204" s="27">
        <v>113.58</v>
      </c>
      <c r="F204" s="27">
        <v>113.58</v>
      </c>
      <c r="G204" s="28">
        <v>1.3819999999999999</v>
      </c>
      <c r="H204" s="27">
        <v>58.935000000000002</v>
      </c>
      <c r="I204" s="90">
        <f t="shared" ref="I204:I267" si="58">H204/E204</f>
        <v>0.51888536714210254</v>
      </c>
      <c r="J204" s="27">
        <f t="shared" si="50"/>
        <v>113.58</v>
      </c>
      <c r="K204" s="27"/>
      <c r="L204" s="29">
        <f>F204-J204</f>
        <v>0</v>
      </c>
    </row>
    <row r="205" spans="1:12" s="20" customFormat="1" hidden="1">
      <c r="A205" s="23" t="s">
        <v>58</v>
      </c>
      <c r="B205" s="24">
        <f t="shared" ref="B205:H205" si="59">B206+B207+B208</f>
        <v>2124.54</v>
      </c>
      <c r="C205" s="25"/>
      <c r="D205" s="24">
        <f t="shared" si="59"/>
        <v>1438.7159999999999</v>
      </c>
      <c r="E205" s="24">
        <f t="shared" si="59"/>
        <v>1511.617</v>
      </c>
      <c r="F205" s="24">
        <f t="shared" si="59"/>
        <v>1511.617</v>
      </c>
      <c r="G205" s="25"/>
      <c r="H205" s="24">
        <f t="shared" si="59"/>
        <v>654.46</v>
      </c>
      <c r="I205" s="89">
        <f t="shared" si="58"/>
        <v>0.43295358546510132</v>
      </c>
      <c r="J205" s="24">
        <f>J206+J207+J208</f>
        <v>1511.617</v>
      </c>
      <c r="K205" s="24"/>
      <c r="L205" s="24">
        <f>L206+L207+L208</f>
        <v>0</v>
      </c>
    </row>
    <row r="206" spans="1:12" hidden="1">
      <c r="A206" s="21" t="s">
        <v>10</v>
      </c>
      <c r="B206" s="27">
        <v>312.42</v>
      </c>
      <c r="C206" s="28">
        <v>68.893000000000001</v>
      </c>
      <c r="D206" s="27">
        <v>367.90699999999998</v>
      </c>
      <c r="E206" s="27">
        <v>193.92</v>
      </c>
      <c r="F206" s="27">
        <v>193.92</v>
      </c>
      <c r="G206" s="28">
        <v>25.378</v>
      </c>
      <c r="H206" s="27">
        <v>154.28200000000001</v>
      </c>
      <c r="I206" s="90">
        <f t="shared" si="58"/>
        <v>0.79559612211221131</v>
      </c>
      <c r="J206" s="27">
        <f t="shared" si="50"/>
        <v>193.92</v>
      </c>
      <c r="K206" s="27"/>
      <c r="L206" s="29">
        <f>F206-J206</f>
        <v>0</v>
      </c>
    </row>
    <row r="207" spans="1:12" hidden="1">
      <c r="A207" s="21" t="s">
        <v>11</v>
      </c>
      <c r="B207" s="27">
        <v>1771.3</v>
      </c>
      <c r="C207" s="28">
        <v>696.04</v>
      </c>
      <c r="D207" s="27">
        <v>1037.788</v>
      </c>
      <c r="E207" s="27">
        <v>1275.877</v>
      </c>
      <c r="F207" s="27">
        <v>1275.877</v>
      </c>
      <c r="G207" s="28">
        <v>327.7</v>
      </c>
      <c r="H207" s="27">
        <v>488.58100000000002</v>
      </c>
      <c r="I207" s="90">
        <f t="shared" si="58"/>
        <v>0.38293738346251249</v>
      </c>
      <c r="J207" s="27">
        <f t="shared" si="50"/>
        <v>1275.877</v>
      </c>
      <c r="K207" s="27"/>
      <c r="L207" s="29">
        <f>F207-J207</f>
        <v>0</v>
      </c>
    </row>
    <row r="208" spans="1:12" hidden="1">
      <c r="A208" s="21" t="s">
        <v>12</v>
      </c>
      <c r="B208" s="27">
        <v>40.82</v>
      </c>
      <c r="C208" s="28">
        <v>0.8</v>
      </c>
      <c r="D208" s="27">
        <v>33.021000000000001</v>
      </c>
      <c r="E208" s="27">
        <v>41.82</v>
      </c>
      <c r="F208" s="27">
        <v>41.82</v>
      </c>
      <c r="G208" s="28">
        <v>0.27200000000000002</v>
      </c>
      <c r="H208" s="27">
        <v>11.597</v>
      </c>
      <c r="I208" s="90">
        <f t="shared" si="58"/>
        <v>0.27730750836920132</v>
      </c>
      <c r="J208" s="27">
        <f t="shared" si="50"/>
        <v>41.82</v>
      </c>
      <c r="K208" s="27"/>
      <c r="L208" s="29">
        <f>F208-J208</f>
        <v>0</v>
      </c>
    </row>
    <row r="209" spans="1:12" s="20" customFormat="1" hidden="1">
      <c r="A209" s="23" t="s">
        <v>59</v>
      </c>
      <c r="B209" s="24">
        <f t="shared" ref="B209:H209" si="60">B210+B211+B212</f>
        <v>6415.71</v>
      </c>
      <c r="C209" s="25"/>
      <c r="D209" s="24">
        <f t="shared" si="60"/>
        <v>4981.1949999999997</v>
      </c>
      <c r="E209" s="24">
        <f t="shared" si="60"/>
        <v>6271.7099999999991</v>
      </c>
      <c r="F209" s="24">
        <f t="shared" si="60"/>
        <v>6271.7099999999991</v>
      </c>
      <c r="G209" s="25"/>
      <c r="H209" s="24">
        <f t="shared" si="60"/>
        <v>2788.7460000000001</v>
      </c>
      <c r="I209" s="89">
        <f t="shared" si="58"/>
        <v>0.44465480706218885</v>
      </c>
      <c r="J209" s="24">
        <f>J210+J211+J212</f>
        <v>6271.7099999999991</v>
      </c>
      <c r="K209" s="24"/>
      <c r="L209" s="24">
        <f>L210+L211+L212</f>
        <v>0</v>
      </c>
    </row>
    <row r="210" spans="1:12" hidden="1">
      <c r="A210" s="21" t="s">
        <v>10</v>
      </c>
      <c r="B210" s="27">
        <v>653.41999999999996</v>
      </c>
      <c r="C210" s="28">
        <v>155.26300000000001</v>
      </c>
      <c r="D210" s="27">
        <v>910.72299999999996</v>
      </c>
      <c r="E210" s="27">
        <v>669.31</v>
      </c>
      <c r="F210" s="27">
        <v>669.31</v>
      </c>
      <c r="G210" s="28">
        <v>96.79</v>
      </c>
      <c r="H210" s="27">
        <v>519.54999999999995</v>
      </c>
      <c r="I210" s="90">
        <f t="shared" si="58"/>
        <v>0.77624717993157133</v>
      </c>
      <c r="J210" s="27">
        <f t="shared" si="50"/>
        <v>669.31</v>
      </c>
      <c r="K210" s="27"/>
      <c r="L210" s="29">
        <f>F210-J210</f>
        <v>0</v>
      </c>
    </row>
    <row r="211" spans="1:12" hidden="1">
      <c r="A211" s="21" t="s">
        <v>11</v>
      </c>
      <c r="B211" s="27">
        <v>5343.72</v>
      </c>
      <c r="C211" s="28">
        <v>2431.5</v>
      </c>
      <c r="D211" s="27">
        <v>3625.3389999999999</v>
      </c>
      <c r="E211" s="27">
        <v>5173.67</v>
      </c>
      <c r="F211" s="27">
        <v>5173.67</v>
      </c>
      <c r="G211" s="28">
        <v>1386.8209999999999</v>
      </c>
      <c r="H211" s="27">
        <v>2067.6689999999999</v>
      </c>
      <c r="I211" s="90">
        <f t="shared" si="58"/>
        <v>0.39965227778346896</v>
      </c>
      <c r="J211" s="27">
        <f t="shared" si="50"/>
        <v>5173.67</v>
      </c>
      <c r="K211" s="27"/>
      <c r="L211" s="29">
        <f>F211-J211</f>
        <v>0</v>
      </c>
    </row>
    <row r="212" spans="1:12" hidden="1">
      <c r="A212" s="21" t="s">
        <v>12</v>
      </c>
      <c r="B212" s="27">
        <v>418.57</v>
      </c>
      <c r="C212" s="28">
        <v>10.92</v>
      </c>
      <c r="D212" s="27">
        <v>445.13299999999998</v>
      </c>
      <c r="E212" s="27">
        <v>428.73</v>
      </c>
      <c r="F212" s="27">
        <v>428.73</v>
      </c>
      <c r="G212" s="28">
        <v>4.726</v>
      </c>
      <c r="H212" s="27">
        <v>201.52699999999999</v>
      </c>
      <c r="I212" s="90">
        <f t="shared" si="58"/>
        <v>0.47005574604063161</v>
      </c>
      <c r="J212" s="27">
        <f t="shared" si="50"/>
        <v>428.73</v>
      </c>
      <c r="K212" s="27"/>
      <c r="L212" s="29">
        <f>F212-J212</f>
        <v>0</v>
      </c>
    </row>
    <row r="213" spans="1:12" s="20" customFormat="1" hidden="1">
      <c r="A213" s="23" t="s">
        <v>74</v>
      </c>
      <c r="B213" s="24">
        <f t="shared" ref="B213:H213" si="61">B214+B215+B216</f>
        <v>4330.38</v>
      </c>
      <c r="C213" s="25"/>
      <c r="D213" s="24">
        <f t="shared" si="61"/>
        <v>4428.01</v>
      </c>
      <c r="E213" s="24">
        <f t="shared" si="61"/>
        <v>4435.9900000000007</v>
      </c>
      <c r="F213" s="24">
        <f t="shared" si="61"/>
        <v>4435.9900000000007</v>
      </c>
      <c r="G213" s="25"/>
      <c r="H213" s="24">
        <f t="shared" si="61"/>
        <v>2121.7779999999998</v>
      </c>
      <c r="I213" s="89">
        <f t="shared" si="58"/>
        <v>0.47830991503587689</v>
      </c>
      <c r="J213" s="24">
        <f>J214+J215+J216</f>
        <v>4435.9900000000007</v>
      </c>
      <c r="K213" s="24"/>
      <c r="L213" s="24">
        <f>L214+L215+L216</f>
        <v>0</v>
      </c>
    </row>
    <row r="214" spans="1:12" hidden="1">
      <c r="A214" s="21" t="s">
        <v>10</v>
      </c>
      <c r="B214" s="27">
        <f>1344.62+181.56</f>
        <v>1526.1799999999998</v>
      </c>
      <c r="C214" s="28">
        <v>331.589</v>
      </c>
      <c r="D214" s="27">
        <v>1767.2529999999999</v>
      </c>
      <c r="E214" s="27">
        <v>1563.3</v>
      </c>
      <c r="F214" s="27">
        <v>1563.3</v>
      </c>
      <c r="G214" s="28">
        <v>131.553</v>
      </c>
      <c r="H214" s="27">
        <v>588.47799999999995</v>
      </c>
      <c r="I214" s="90">
        <f t="shared" si="58"/>
        <v>0.37643318620866112</v>
      </c>
      <c r="J214" s="27">
        <f t="shared" si="50"/>
        <v>1563.3</v>
      </c>
      <c r="K214" s="27"/>
      <c r="L214" s="29">
        <f>F214-J214</f>
        <v>0</v>
      </c>
    </row>
    <row r="215" spans="1:12" hidden="1">
      <c r="A215" s="21" t="s">
        <v>11</v>
      </c>
      <c r="B215" s="27">
        <f>2150.01+305.65</f>
        <v>2455.6600000000003</v>
      </c>
      <c r="C215" s="28">
        <v>1553.04</v>
      </c>
      <c r="D215" s="27">
        <v>2315.5650000000001</v>
      </c>
      <c r="E215" s="27">
        <v>2515.38</v>
      </c>
      <c r="F215" s="27">
        <v>2515.38</v>
      </c>
      <c r="G215" s="28">
        <v>917.3</v>
      </c>
      <c r="H215" s="27">
        <v>1349.6</v>
      </c>
      <c r="I215" s="90">
        <f t="shared" si="58"/>
        <v>0.53653921077531019</v>
      </c>
      <c r="J215" s="27">
        <f t="shared" si="50"/>
        <v>2515.38</v>
      </c>
      <c r="K215" s="27"/>
      <c r="L215" s="29">
        <f>F215-J215</f>
        <v>0</v>
      </c>
    </row>
    <row r="216" spans="1:12" hidden="1">
      <c r="A216" s="21" t="s">
        <v>12</v>
      </c>
      <c r="B216" s="27">
        <f>336.3+12.34-0.1</f>
        <v>348.53999999999996</v>
      </c>
      <c r="C216" s="28">
        <v>8.4890000000000008</v>
      </c>
      <c r="D216" s="27">
        <v>345.19200000000001</v>
      </c>
      <c r="E216" s="27">
        <v>357.31</v>
      </c>
      <c r="F216" s="27">
        <v>357.31</v>
      </c>
      <c r="G216" s="28">
        <v>4.8879999999999999</v>
      </c>
      <c r="H216" s="27">
        <v>183.7</v>
      </c>
      <c r="I216" s="90">
        <f t="shared" si="58"/>
        <v>0.51411939212448565</v>
      </c>
      <c r="J216" s="27">
        <f t="shared" si="50"/>
        <v>357.31</v>
      </c>
      <c r="K216" s="27"/>
      <c r="L216" s="29">
        <f>F216-J216</f>
        <v>0</v>
      </c>
    </row>
    <row r="217" spans="1:12" s="20" customFormat="1" hidden="1">
      <c r="A217" s="23" t="s">
        <v>60</v>
      </c>
      <c r="B217" s="24">
        <f t="shared" ref="B217:H217" si="62">B218+B219+B220</f>
        <v>2248.21</v>
      </c>
      <c r="C217" s="25"/>
      <c r="D217" s="24">
        <f t="shared" si="62"/>
        <v>1667.729</v>
      </c>
      <c r="E217" s="24">
        <f t="shared" si="62"/>
        <v>2202.88</v>
      </c>
      <c r="F217" s="24">
        <f t="shared" si="62"/>
        <v>2202.88</v>
      </c>
      <c r="G217" s="25"/>
      <c r="H217" s="24">
        <f t="shared" si="62"/>
        <v>1077.6419999999998</v>
      </c>
      <c r="I217" s="89">
        <f t="shared" si="58"/>
        <v>0.48919686955258562</v>
      </c>
      <c r="J217" s="24">
        <f>J218+J219+J220</f>
        <v>2202.88</v>
      </c>
      <c r="K217" s="24"/>
      <c r="L217" s="24">
        <f>L218+L219+L220</f>
        <v>0</v>
      </c>
    </row>
    <row r="218" spans="1:12" hidden="1">
      <c r="A218" s="21" t="s">
        <v>10</v>
      </c>
      <c r="B218" s="27">
        <v>346.22</v>
      </c>
      <c r="C218" s="28">
        <v>81.5</v>
      </c>
      <c r="D218" s="27">
        <v>396.83300000000003</v>
      </c>
      <c r="E218" s="27">
        <v>354.64</v>
      </c>
      <c r="F218" s="27">
        <v>354.64</v>
      </c>
      <c r="G218" s="28">
        <v>40.15</v>
      </c>
      <c r="H218" s="27">
        <v>182.13399999999999</v>
      </c>
      <c r="I218" s="90">
        <f t="shared" si="58"/>
        <v>0.51357432889690957</v>
      </c>
      <c r="J218" s="27">
        <f t="shared" si="50"/>
        <v>354.64</v>
      </c>
      <c r="K218" s="27"/>
      <c r="L218" s="29">
        <f>F218-J218</f>
        <v>0</v>
      </c>
    </row>
    <row r="219" spans="1:12" hidden="1">
      <c r="A219" s="21" t="s">
        <v>11</v>
      </c>
      <c r="B219" s="27">
        <v>1799.62</v>
      </c>
      <c r="C219" s="28">
        <v>794.86</v>
      </c>
      <c r="D219" s="27">
        <v>1185.127</v>
      </c>
      <c r="E219" s="27">
        <v>1743.39</v>
      </c>
      <c r="F219" s="27">
        <v>1743.39</v>
      </c>
      <c r="G219" s="28">
        <v>565.20000000000005</v>
      </c>
      <c r="H219" s="27">
        <v>842.68</v>
      </c>
      <c r="I219" s="90">
        <f t="shared" si="58"/>
        <v>0.48335713753090237</v>
      </c>
      <c r="J219" s="27">
        <f t="shared" si="50"/>
        <v>1743.39</v>
      </c>
      <c r="K219" s="27"/>
      <c r="L219" s="29">
        <f>F219-J219</f>
        <v>0</v>
      </c>
    </row>
    <row r="220" spans="1:12" hidden="1">
      <c r="A220" s="21" t="s">
        <v>12</v>
      </c>
      <c r="B220" s="27">
        <v>102.37</v>
      </c>
      <c r="C220" s="28">
        <v>2.0880000000000001</v>
      </c>
      <c r="D220" s="27">
        <v>85.769000000000005</v>
      </c>
      <c r="E220" s="27">
        <v>104.85</v>
      </c>
      <c r="F220" s="27">
        <v>104.85</v>
      </c>
      <c r="G220" s="28">
        <v>1.43</v>
      </c>
      <c r="H220" s="27">
        <v>52.828000000000003</v>
      </c>
      <c r="I220" s="90">
        <f t="shared" si="58"/>
        <v>0.50384358607534574</v>
      </c>
      <c r="J220" s="27">
        <f t="shared" si="50"/>
        <v>104.85</v>
      </c>
      <c r="K220" s="27"/>
      <c r="L220" s="29">
        <f>F220-J220</f>
        <v>0</v>
      </c>
    </row>
    <row r="221" spans="1:12" s="20" customFormat="1" hidden="1">
      <c r="A221" s="23" t="s">
        <v>61</v>
      </c>
      <c r="B221" s="24">
        <f t="shared" ref="B221:H221" si="63">B222+B223+B224</f>
        <v>4923.74</v>
      </c>
      <c r="C221" s="25"/>
      <c r="D221" s="24">
        <f t="shared" si="63"/>
        <v>2814.9850000000001</v>
      </c>
      <c r="E221" s="24">
        <f t="shared" si="63"/>
        <v>4730.51</v>
      </c>
      <c r="F221" s="24">
        <f t="shared" si="63"/>
        <v>4730.51</v>
      </c>
      <c r="G221" s="25"/>
      <c r="H221" s="24">
        <f t="shared" si="63"/>
        <v>1515.3780000000002</v>
      </c>
      <c r="I221" s="89">
        <f t="shared" si="58"/>
        <v>0.32034135854273643</v>
      </c>
      <c r="J221" s="24">
        <f>J222+J223+J224</f>
        <v>4126.51</v>
      </c>
      <c r="K221" s="24"/>
      <c r="L221" s="24">
        <f>L222+L223+L224</f>
        <v>604</v>
      </c>
    </row>
    <row r="222" spans="1:12" hidden="1">
      <c r="A222" s="21" t="s">
        <v>10</v>
      </c>
      <c r="B222" s="27">
        <v>734.82</v>
      </c>
      <c r="C222" s="28">
        <v>148.76</v>
      </c>
      <c r="D222" s="27">
        <v>792.90800000000002</v>
      </c>
      <c r="E222" s="27">
        <v>752.69</v>
      </c>
      <c r="F222" s="27">
        <v>752.69</v>
      </c>
      <c r="G222" s="28">
        <v>92.92</v>
      </c>
      <c r="H222" s="27">
        <v>415.73399999999998</v>
      </c>
      <c r="I222" s="90">
        <f t="shared" si="58"/>
        <v>0.55233097291049427</v>
      </c>
      <c r="J222" s="27">
        <f t="shared" si="50"/>
        <v>752.69</v>
      </c>
      <c r="K222" s="27"/>
      <c r="L222" s="29">
        <f>F222-J222</f>
        <v>0</v>
      </c>
    </row>
    <row r="223" spans="1:12" hidden="1">
      <c r="A223" s="21" t="s">
        <v>11</v>
      </c>
      <c r="B223" s="27">
        <v>3885.52</v>
      </c>
      <c r="C223" s="28">
        <v>1008.32</v>
      </c>
      <c r="D223" s="27">
        <v>1503.394</v>
      </c>
      <c r="E223" s="27">
        <f>3980.02-313</f>
        <v>3667.02</v>
      </c>
      <c r="F223" s="27">
        <v>3667.02</v>
      </c>
      <c r="G223" s="28">
        <v>640.39</v>
      </c>
      <c r="H223" s="27">
        <v>954.78399999999999</v>
      </c>
      <c r="I223" s="90">
        <f t="shared" si="58"/>
        <v>0.26037054611101113</v>
      </c>
      <c r="J223" s="27">
        <f>E223-604</f>
        <v>3063.02</v>
      </c>
      <c r="K223" s="27"/>
      <c r="L223" s="29">
        <f>F223-J223</f>
        <v>604</v>
      </c>
    </row>
    <row r="224" spans="1:12" hidden="1">
      <c r="A224" s="21" t="s">
        <v>12</v>
      </c>
      <c r="B224" s="27">
        <v>303.39999999999998</v>
      </c>
      <c r="C224" s="28">
        <f>5.865+2</f>
        <v>7.8650000000000002</v>
      </c>
      <c r="D224" s="27">
        <f>230.913+275.2+12.57</f>
        <v>518.68299999999999</v>
      </c>
      <c r="E224" s="27">
        <v>310.8</v>
      </c>
      <c r="F224" s="27">
        <v>310.8</v>
      </c>
      <c r="G224" s="28">
        <v>1.2549999999999999</v>
      </c>
      <c r="H224" s="27">
        <v>144.86000000000001</v>
      </c>
      <c r="I224" s="90">
        <f t="shared" si="58"/>
        <v>0.46608751608751614</v>
      </c>
      <c r="J224" s="27">
        <f t="shared" si="50"/>
        <v>310.8</v>
      </c>
      <c r="K224" s="27"/>
      <c r="L224" s="29">
        <f>F224-J224</f>
        <v>0</v>
      </c>
    </row>
    <row r="225" spans="1:12" s="20" customFormat="1" hidden="1">
      <c r="A225" s="23" t="s">
        <v>66</v>
      </c>
      <c r="B225" s="24">
        <f t="shared" ref="B225:L225" si="64">B226+B227+B228</f>
        <v>5248.8</v>
      </c>
      <c r="C225" s="25"/>
      <c r="D225" s="24">
        <f t="shared" si="64"/>
        <v>4306.0199999999995</v>
      </c>
      <c r="E225" s="24">
        <f t="shared" si="64"/>
        <v>5376.5</v>
      </c>
      <c r="F225" s="24">
        <f t="shared" si="64"/>
        <v>5376.5</v>
      </c>
      <c r="G225" s="25"/>
      <c r="H225" s="24">
        <f t="shared" si="64"/>
        <v>2891.2699999999995</v>
      </c>
      <c r="I225" s="89">
        <f t="shared" si="58"/>
        <v>0.5377606249418766</v>
      </c>
      <c r="J225" s="24">
        <f t="shared" si="64"/>
        <v>5376.5</v>
      </c>
      <c r="K225" s="24"/>
      <c r="L225" s="24">
        <f t="shared" si="64"/>
        <v>0</v>
      </c>
    </row>
    <row r="226" spans="1:12" hidden="1">
      <c r="A226" s="21" t="s">
        <v>10</v>
      </c>
      <c r="B226" s="28">
        <v>1327.72</v>
      </c>
      <c r="C226" s="28">
        <v>180.28</v>
      </c>
      <c r="D226" s="27">
        <v>968.27</v>
      </c>
      <c r="E226" s="27">
        <v>1272.93</v>
      </c>
      <c r="F226" s="27">
        <v>1272.93</v>
      </c>
      <c r="G226" s="28">
        <v>100.61</v>
      </c>
      <c r="H226" s="27">
        <v>541.08000000000004</v>
      </c>
      <c r="I226" s="90">
        <f t="shared" si="58"/>
        <v>0.42506657868068159</v>
      </c>
      <c r="J226" s="27">
        <v>1272.93</v>
      </c>
      <c r="K226" s="27"/>
      <c r="L226" s="29">
        <f>F226-J226</f>
        <v>0</v>
      </c>
    </row>
    <row r="227" spans="1:12" hidden="1">
      <c r="A227" s="21" t="s">
        <v>11</v>
      </c>
      <c r="B227" s="28">
        <v>3436.73</v>
      </c>
      <c r="C227" s="28">
        <v>2039.95</v>
      </c>
      <c r="D227" s="27">
        <v>3046.24</v>
      </c>
      <c r="E227" s="27">
        <v>3694.67</v>
      </c>
      <c r="F227" s="27">
        <v>3694.67</v>
      </c>
      <c r="G227" s="28">
        <v>1399.39</v>
      </c>
      <c r="H227" s="27">
        <v>2086.41</v>
      </c>
      <c r="I227" s="90">
        <f t="shared" si="58"/>
        <v>0.56470807947665147</v>
      </c>
      <c r="J227" s="27">
        <v>3694.67</v>
      </c>
      <c r="K227" s="27"/>
      <c r="L227" s="29">
        <f>F227-J227</f>
        <v>0</v>
      </c>
    </row>
    <row r="228" spans="1:12" hidden="1">
      <c r="A228" s="21" t="s">
        <v>12</v>
      </c>
      <c r="B228" s="28">
        <v>484.35</v>
      </c>
      <c r="C228" s="28">
        <v>7.18</v>
      </c>
      <c r="D228" s="28">
        <v>291.51</v>
      </c>
      <c r="E228" s="27">
        <v>408.9</v>
      </c>
      <c r="F228" s="27">
        <v>408.9</v>
      </c>
      <c r="G228" s="28">
        <v>6.11</v>
      </c>
      <c r="H228" s="27">
        <v>263.77999999999997</v>
      </c>
      <c r="I228" s="90">
        <f t="shared" si="58"/>
        <v>0.64509660063585228</v>
      </c>
      <c r="J228" s="27">
        <v>408.9</v>
      </c>
      <c r="K228" s="27"/>
      <c r="L228" s="29">
        <f>F228-J228</f>
        <v>0</v>
      </c>
    </row>
    <row r="229" spans="1:12" s="20" customFormat="1" hidden="1">
      <c r="A229" s="23" t="s">
        <v>67</v>
      </c>
      <c r="B229" s="25">
        <f t="shared" ref="B229:L229" si="65">B230+B231+B232</f>
        <v>3462.76</v>
      </c>
      <c r="C229" s="25"/>
      <c r="D229" s="25">
        <f t="shared" si="65"/>
        <v>3109.8</v>
      </c>
      <c r="E229" s="24">
        <f t="shared" si="65"/>
        <v>3547</v>
      </c>
      <c r="F229" s="24">
        <f t="shared" si="65"/>
        <v>3547</v>
      </c>
      <c r="G229" s="25"/>
      <c r="H229" s="24">
        <f t="shared" si="65"/>
        <v>1588.3</v>
      </c>
      <c r="I229" s="89">
        <f t="shared" si="58"/>
        <v>0.44778686213701718</v>
      </c>
      <c r="J229" s="24">
        <f t="shared" si="65"/>
        <v>3547</v>
      </c>
      <c r="K229" s="24"/>
      <c r="L229" s="24">
        <f t="shared" si="65"/>
        <v>0</v>
      </c>
    </row>
    <row r="230" spans="1:12" hidden="1">
      <c r="A230" s="21" t="s">
        <v>10</v>
      </c>
      <c r="B230" s="28">
        <v>669.08</v>
      </c>
      <c r="C230" s="28">
        <v>148.9</v>
      </c>
      <c r="D230" s="28">
        <v>795.2</v>
      </c>
      <c r="E230" s="27">
        <v>917</v>
      </c>
      <c r="F230" s="27">
        <v>917</v>
      </c>
      <c r="G230" s="28">
        <v>83.44</v>
      </c>
      <c r="H230" s="27">
        <v>448.4</v>
      </c>
      <c r="I230" s="90">
        <f t="shared" si="58"/>
        <v>0.48898582333696833</v>
      </c>
      <c r="J230" s="27">
        <v>917</v>
      </c>
      <c r="K230" s="27"/>
      <c r="L230" s="29">
        <f>F230-J230</f>
        <v>0</v>
      </c>
    </row>
    <row r="231" spans="1:12" hidden="1">
      <c r="A231" s="21" t="s">
        <v>11</v>
      </c>
      <c r="B231" s="28">
        <v>2588.36</v>
      </c>
      <c r="C231" s="28">
        <v>1409.53</v>
      </c>
      <c r="D231" s="28">
        <v>2101.6</v>
      </c>
      <c r="E231" s="27">
        <v>2404.6999999999998</v>
      </c>
      <c r="F231" s="27">
        <v>2404.6999999999998</v>
      </c>
      <c r="G231" s="28">
        <v>699.88</v>
      </c>
      <c r="H231" s="27">
        <v>1051.7</v>
      </c>
      <c r="I231" s="90">
        <f t="shared" si="58"/>
        <v>0.43735185262194876</v>
      </c>
      <c r="J231" s="27">
        <v>2404.6999999999998</v>
      </c>
      <c r="K231" s="27"/>
      <c r="L231" s="29">
        <f>F231-J231</f>
        <v>0</v>
      </c>
    </row>
    <row r="232" spans="1:12" hidden="1">
      <c r="A232" s="21" t="s">
        <v>12</v>
      </c>
      <c r="B232" s="28">
        <v>205.32</v>
      </c>
      <c r="C232" s="28">
        <v>5.2</v>
      </c>
      <c r="D232" s="28">
        <v>213</v>
      </c>
      <c r="E232" s="27">
        <v>225.3</v>
      </c>
      <c r="F232" s="27">
        <v>225.3</v>
      </c>
      <c r="G232" s="28">
        <v>2.0699999999999998</v>
      </c>
      <c r="H232" s="27">
        <v>88.2</v>
      </c>
      <c r="I232" s="90">
        <f t="shared" si="58"/>
        <v>0.39147802929427428</v>
      </c>
      <c r="J232" s="27">
        <v>225.3</v>
      </c>
      <c r="K232" s="27"/>
      <c r="L232" s="29">
        <f>F232-J232</f>
        <v>0</v>
      </c>
    </row>
    <row r="233" spans="1:12" s="20" customFormat="1" hidden="1">
      <c r="A233" s="23" t="s">
        <v>73</v>
      </c>
      <c r="B233" s="25">
        <f t="shared" ref="B233:L233" si="66">B234+B235+B236</f>
        <v>4635.2699999999995</v>
      </c>
      <c r="C233" s="25"/>
      <c r="D233" s="25">
        <f t="shared" si="66"/>
        <v>4275.07</v>
      </c>
      <c r="E233" s="24">
        <f t="shared" si="66"/>
        <v>4748</v>
      </c>
      <c r="F233" s="24">
        <f t="shared" si="66"/>
        <v>4748</v>
      </c>
      <c r="G233" s="25"/>
      <c r="H233" s="24">
        <f t="shared" si="66"/>
        <v>2282.34</v>
      </c>
      <c r="I233" s="89">
        <f t="shared" si="58"/>
        <v>0.48069502948609943</v>
      </c>
      <c r="J233" s="24">
        <f t="shared" si="66"/>
        <v>4748</v>
      </c>
      <c r="K233" s="24"/>
      <c r="L233" s="24">
        <f t="shared" si="66"/>
        <v>0</v>
      </c>
    </row>
    <row r="234" spans="1:12" hidden="1">
      <c r="A234" s="21" t="s">
        <v>10</v>
      </c>
      <c r="B234" s="28">
        <v>1284.0999999999999</v>
      </c>
      <c r="C234" s="28">
        <f>191.1+18.1</f>
        <v>209.2</v>
      </c>
      <c r="D234" s="28">
        <f>1019.6+96.1</f>
        <v>1115.7</v>
      </c>
      <c r="E234" s="27">
        <v>1403</v>
      </c>
      <c r="F234" s="27">
        <v>1403</v>
      </c>
      <c r="G234" s="28">
        <v>100.98</v>
      </c>
      <c r="H234" s="27">
        <v>545.35</v>
      </c>
      <c r="I234" s="90">
        <f t="shared" si="58"/>
        <v>0.38870277975766215</v>
      </c>
      <c r="J234" s="27">
        <v>1403</v>
      </c>
      <c r="K234" s="27"/>
      <c r="L234" s="29">
        <f>F234-J234</f>
        <v>0</v>
      </c>
    </row>
    <row r="235" spans="1:12" hidden="1">
      <c r="A235" s="21" t="s">
        <v>11</v>
      </c>
      <c r="B235" s="28">
        <v>2516.79</v>
      </c>
      <c r="C235" s="28">
        <f>1440.01+364.5</f>
        <v>1804.51</v>
      </c>
      <c r="D235" s="28">
        <f>2140.96+543.3</f>
        <v>2684.26</v>
      </c>
      <c r="E235" s="27">
        <v>2763</v>
      </c>
      <c r="F235" s="27">
        <v>2763</v>
      </c>
      <c r="G235" s="28">
        <v>972.52</v>
      </c>
      <c r="H235" s="27">
        <v>1449.98</v>
      </c>
      <c r="I235" s="90">
        <f t="shared" si="58"/>
        <v>0.52478465436120159</v>
      </c>
      <c r="J235" s="27">
        <v>2763</v>
      </c>
      <c r="K235" s="27"/>
      <c r="L235" s="29">
        <f>F235-J235</f>
        <v>0</v>
      </c>
    </row>
    <row r="236" spans="1:12" hidden="1">
      <c r="A236" s="21" t="s">
        <v>12</v>
      </c>
      <c r="B236" s="28">
        <v>834.38</v>
      </c>
      <c r="C236" s="28">
        <v>6.4</v>
      </c>
      <c r="D236" s="28">
        <v>475.11</v>
      </c>
      <c r="E236" s="27">
        <v>582</v>
      </c>
      <c r="F236" s="27">
        <v>582</v>
      </c>
      <c r="G236" s="28">
        <v>3.6</v>
      </c>
      <c r="H236" s="27">
        <v>287.01</v>
      </c>
      <c r="I236" s="90">
        <f t="shared" si="58"/>
        <v>0.49314432989690721</v>
      </c>
      <c r="J236" s="27">
        <v>582</v>
      </c>
      <c r="K236" s="27"/>
      <c r="L236" s="29">
        <f>F236-J236</f>
        <v>0</v>
      </c>
    </row>
    <row r="237" spans="1:12" s="20" customFormat="1" hidden="1">
      <c r="A237" s="23" t="s">
        <v>72</v>
      </c>
      <c r="B237" s="25">
        <f t="shared" ref="B237:L237" si="67">B238+B239+B240</f>
        <v>3148.06</v>
      </c>
      <c r="C237" s="25"/>
      <c r="D237" s="25">
        <f t="shared" si="67"/>
        <v>2339.7999999999997</v>
      </c>
      <c r="E237" s="24">
        <f t="shared" si="67"/>
        <v>3224.67</v>
      </c>
      <c r="F237" s="24">
        <f t="shared" si="67"/>
        <v>3224.67</v>
      </c>
      <c r="G237" s="25"/>
      <c r="H237" s="24">
        <f t="shared" si="67"/>
        <v>1329.7</v>
      </c>
      <c r="I237" s="89">
        <f t="shared" si="58"/>
        <v>0.41235227170532179</v>
      </c>
      <c r="J237" s="24">
        <f t="shared" si="67"/>
        <v>3004.67</v>
      </c>
      <c r="K237" s="24"/>
      <c r="L237" s="24">
        <f t="shared" si="67"/>
        <v>220</v>
      </c>
    </row>
    <row r="238" spans="1:12" hidden="1">
      <c r="A238" s="21" t="s">
        <v>10</v>
      </c>
      <c r="B238" s="28">
        <v>455.58</v>
      </c>
      <c r="C238" s="28">
        <v>130.13</v>
      </c>
      <c r="D238" s="28">
        <v>630.1</v>
      </c>
      <c r="E238" s="27">
        <v>592.9</v>
      </c>
      <c r="F238" s="27">
        <v>592.9</v>
      </c>
      <c r="G238" s="28">
        <v>72.8</v>
      </c>
      <c r="H238" s="27">
        <v>323.2</v>
      </c>
      <c r="I238" s="90">
        <f t="shared" si="58"/>
        <v>0.54511722044189581</v>
      </c>
      <c r="J238" s="27">
        <v>592.9</v>
      </c>
      <c r="K238" s="27"/>
      <c r="L238" s="29">
        <f>F238-J238</f>
        <v>0</v>
      </c>
    </row>
    <row r="239" spans="1:12" hidden="1">
      <c r="A239" s="21" t="s">
        <v>11</v>
      </c>
      <c r="B239" s="28">
        <v>2594.33</v>
      </c>
      <c r="C239" s="28">
        <v>1137.2</v>
      </c>
      <c r="D239" s="28">
        <v>1554.5</v>
      </c>
      <c r="E239" s="27">
        <v>2481.9699999999998</v>
      </c>
      <c r="F239" s="27">
        <v>2481.9699999999998</v>
      </c>
      <c r="G239" s="28">
        <v>618.9</v>
      </c>
      <c r="H239" s="27">
        <v>922.8</v>
      </c>
      <c r="I239" s="90">
        <f t="shared" si="58"/>
        <v>0.37180143192705795</v>
      </c>
      <c r="J239" s="27">
        <f>2481.97-220</f>
        <v>2261.9699999999998</v>
      </c>
      <c r="K239" s="27"/>
      <c r="L239" s="29">
        <f>F239-J239</f>
        <v>220</v>
      </c>
    </row>
    <row r="240" spans="1:12" hidden="1">
      <c r="A240" s="21" t="s">
        <v>12</v>
      </c>
      <c r="B240" s="28">
        <v>98.15</v>
      </c>
      <c r="C240" s="28">
        <v>7.8</v>
      </c>
      <c r="D240" s="28">
        <v>155.19999999999999</v>
      </c>
      <c r="E240" s="27">
        <v>149.80000000000001</v>
      </c>
      <c r="F240" s="27">
        <v>149.80000000000001</v>
      </c>
      <c r="G240" s="28">
        <v>3.3</v>
      </c>
      <c r="H240" s="27">
        <v>83.7</v>
      </c>
      <c r="I240" s="90">
        <f t="shared" si="58"/>
        <v>0.5587449933244325</v>
      </c>
      <c r="J240" s="27">
        <v>149.80000000000001</v>
      </c>
      <c r="K240" s="27"/>
      <c r="L240" s="29">
        <f>F240-J240</f>
        <v>0</v>
      </c>
    </row>
    <row r="241" spans="1:12" s="20" customFormat="1" hidden="1">
      <c r="A241" s="23" t="s">
        <v>68</v>
      </c>
      <c r="B241" s="25">
        <f t="shared" ref="B241:L241" si="68">B242+B243+B244</f>
        <v>1933.1</v>
      </c>
      <c r="C241" s="25"/>
      <c r="D241" s="25">
        <f t="shared" si="68"/>
        <v>1792.86</v>
      </c>
      <c r="E241" s="24">
        <f t="shared" si="68"/>
        <v>1703.7799999999997</v>
      </c>
      <c r="F241" s="24">
        <f t="shared" si="68"/>
        <v>1703.7799999999997</v>
      </c>
      <c r="G241" s="25"/>
      <c r="H241" s="24">
        <f t="shared" si="68"/>
        <v>1080</v>
      </c>
      <c r="I241" s="89">
        <f t="shared" si="58"/>
        <v>0.63388465646973213</v>
      </c>
      <c r="J241" s="24">
        <f t="shared" si="68"/>
        <v>1741.61</v>
      </c>
      <c r="K241" s="24"/>
      <c r="L241" s="24">
        <f t="shared" si="68"/>
        <v>-37.830000000000013</v>
      </c>
    </row>
    <row r="242" spans="1:12" hidden="1">
      <c r="A242" s="21" t="s">
        <v>10</v>
      </c>
      <c r="B242" s="28">
        <v>329.32</v>
      </c>
      <c r="C242" s="28">
        <v>69.3</v>
      </c>
      <c r="D242" s="28">
        <v>361.06</v>
      </c>
      <c r="E242" s="27">
        <v>337.33</v>
      </c>
      <c r="F242" s="27">
        <v>337.33</v>
      </c>
      <c r="G242" s="28">
        <v>47.52</v>
      </c>
      <c r="H242" s="27">
        <v>249.3</v>
      </c>
      <c r="I242" s="90">
        <f t="shared" si="58"/>
        <v>0.73903892330951892</v>
      </c>
      <c r="J242" s="27">
        <v>340</v>
      </c>
      <c r="K242" s="27"/>
      <c r="L242" s="29">
        <f>F242-J242</f>
        <v>-2.6700000000000159</v>
      </c>
    </row>
    <row r="243" spans="1:12" hidden="1">
      <c r="A243" s="21" t="s">
        <v>11</v>
      </c>
      <c r="B243" s="28">
        <v>1501.43</v>
      </c>
      <c r="C243" s="28">
        <v>865.4</v>
      </c>
      <c r="D243" s="28">
        <v>1290.3</v>
      </c>
      <c r="E243" s="27">
        <v>1261.6099999999999</v>
      </c>
      <c r="F243" s="27">
        <v>1261.6099999999999</v>
      </c>
      <c r="G243" s="28">
        <v>488</v>
      </c>
      <c r="H243" s="27">
        <v>727.59</v>
      </c>
      <c r="I243" s="90">
        <f t="shared" si="58"/>
        <v>0.57671546674487373</v>
      </c>
      <c r="J243" s="27">
        <v>1261.6099999999999</v>
      </c>
      <c r="K243" s="27"/>
      <c r="L243" s="29">
        <f>F243-J243</f>
        <v>0</v>
      </c>
    </row>
    <row r="244" spans="1:12" hidden="1">
      <c r="A244" s="21" t="s">
        <v>12</v>
      </c>
      <c r="B244" s="28">
        <v>102.35</v>
      </c>
      <c r="C244" s="28">
        <v>3.48</v>
      </c>
      <c r="D244" s="28">
        <v>141.5</v>
      </c>
      <c r="E244" s="27">
        <v>104.84</v>
      </c>
      <c r="F244" s="27">
        <v>104.84</v>
      </c>
      <c r="G244" s="28">
        <v>2.4</v>
      </c>
      <c r="H244" s="27">
        <v>103.11</v>
      </c>
      <c r="I244" s="90">
        <f t="shared" si="58"/>
        <v>0.9834986646318199</v>
      </c>
      <c r="J244" s="27">
        <v>140</v>
      </c>
      <c r="K244" s="27"/>
      <c r="L244" s="29">
        <f>F244-J244</f>
        <v>-35.159999999999997</v>
      </c>
    </row>
    <row r="245" spans="1:12" s="20" customFormat="1" hidden="1">
      <c r="A245" s="23" t="s">
        <v>69</v>
      </c>
      <c r="B245" s="25">
        <f t="shared" ref="B245:L245" si="69">B246+B247+B248</f>
        <v>3045.7</v>
      </c>
      <c r="C245" s="25"/>
      <c r="D245" s="25">
        <f t="shared" si="69"/>
        <v>2460.4</v>
      </c>
      <c r="E245" s="24">
        <f t="shared" si="69"/>
        <v>3119.74</v>
      </c>
      <c r="F245" s="24">
        <f t="shared" si="69"/>
        <v>3119.74</v>
      </c>
      <c r="G245" s="25"/>
      <c r="H245" s="24">
        <f t="shared" si="69"/>
        <v>1446.7</v>
      </c>
      <c r="I245" s="89">
        <f t="shared" si="58"/>
        <v>0.46372454114765976</v>
      </c>
      <c r="J245" s="24">
        <f t="shared" si="69"/>
        <v>3119.74</v>
      </c>
      <c r="K245" s="24"/>
      <c r="L245" s="24">
        <f t="shared" si="69"/>
        <v>0</v>
      </c>
    </row>
    <row r="246" spans="1:12" hidden="1">
      <c r="A246" s="21" t="s">
        <v>10</v>
      </c>
      <c r="B246" s="28">
        <v>609.17999999999995</v>
      </c>
      <c r="C246" s="28">
        <v>107.6</v>
      </c>
      <c r="D246" s="28">
        <v>577.29999999999995</v>
      </c>
      <c r="E246" s="27">
        <v>610.5</v>
      </c>
      <c r="F246" s="27">
        <v>610.5</v>
      </c>
      <c r="G246" s="28">
        <v>64.7</v>
      </c>
      <c r="H246" s="27">
        <v>355.2</v>
      </c>
      <c r="I246" s="90">
        <f t="shared" si="58"/>
        <v>0.58181818181818179</v>
      </c>
      <c r="J246" s="27">
        <v>610.5</v>
      </c>
      <c r="K246" s="27"/>
      <c r="L246" s="29">
        <f>F246-J246</f>
        <v>0</v>
      </c>
    </row>
    <row r="247" spans="1:12" hidden="1">
      <c r="A247" s="21" t="s">
        <v>11</v>
      </c>
      <c r="B247" s="28">
        <v>2354.27</v>
      </c>
      <c r="C247" s="28">
        <v>1202.23</v>
      </c>
      <c r="D247" s="28">
        <v>1792.5</v>
      </c>
      <c r="E247" s="27">
        <v>2374.04</v>
      </c>
      <c r="F247" s="27">
        <v>2374.04</v>
      </c>
      <c r="G247" s="28">
        <v>693.2</v>
      </c>
      <c r="H247" s="27">
        <v>1033.5</v>
      </c>
      <c r="I247" s="90">
        <f t="shared" si="58"/>
        <v>0.43533386126602752</v>
      </c>
      <c r="J247" s="27">
        <v>2374.04</v>
      </c>
      <c r="K247" s="27"/>
      <c r="L247" s="29">
        <f>F247-J247</f>
        <v>0</v>
      </c>
    </row>
    <row r="248" spans="1:12" hidden="1">
      <c r="A248" s="21" t="s">
        <v>12</v>
      </c>
      <c r="B248" s="28">
        <v>82.25</v>
      </c>
      <c r="C248" s="28">
        <v>4.5999999999999996</v>
      </c>
      <c r="D248" s="28">
        <v>90.6</v>
      </c>
      <c r="E248" s="27">
        <v>135.19999999999999</v>
      </c>
      <c r="F248" s="27">
        <v>135.19999999999999</v>
      </c>
      <c r="G248" s="28">
        <v>2.7</v>
      </c>
      <c r="H248" s="27">
        <v>58</v>
      </c>
      <c r="I248" s="90">
        <f t="shared" si="58"/>
        <v>0.42899408284023671</v>
      </c>
      <c r="J248" s="27">
        <v>135.19999999999999</v>
      </c>
      <c r="K248" s="27"/>
      <c r="L248" s="29">
        <f>F248-J248</f>
        <v>0</v>
      </c>
    </row>
    <row r="249" spans="1:12" s="20" customFormat="1" hidden="1">
      <c r="A249" s="23" t="s">
        <v>70</v>
      </c>
      <c r="B249" s="25">
        <f t="shared" ref="B249:L249" si="70">B250+B251+B252</f>
        <v>1806.06</v>
      </c>
      <c r="C249" s="25"/>
      <c r="D249" s="25">
        <f t="shared" si="70"/>
        <v>1232.0999999999999</v>
      </c>
      <c r="E249" s="24">
        <f t="shared" si="70"/>
        <v>1849.9999999999998</v>
      </c>
      <c r="F249" s="24">
        <f t="shared" si="70"/>
        <v>1849.9999999999998</v>
      </c>
      <c r="G249" s="25"/>
      <c r="H249" s="24">
        <f t="shared" si="70"/>
        <v>658</v>
      </c>
      <c r="I249" s="89">
        <f t="shared" si="58"/>
        <v>0.35567567567567571</v>
      </c>
      <c r="J249" s="24">
        <f t="shared" si="70"/>
        <v>1622.2</v>
      </c>
      <c r="K249" s="24"/>
      <c r="L249" s="24">
        <f t="shared" si="70"/>
        <v>227.79999999999984</v>
      </c>
    </row>
    <row r="250" spans="1:12" hidden="1">
      <c r="A250" s="21" t="s">
        <v>10</v>
      </c>
      <c r="B250" s="28">
        <v>241.46</v>
      </c>
      <c r="C250" s="28">
        <v>68.2</v>
      </c>
      <c r="D250" s="28">
        <v>355.5</v>
      </c>
      <c r="E250" s="27">
        <v>247.3</v>
      </c>
      <c r="F250" s="27">
        <v>247.3</v>
      </c>
      <c r="G250" s="28">
        <v>36.299999999999997</v>
      </c>
      <c r="H250" s="27">
        <v>210.2</v>
      </c>
      <c r="I250" s="90">
        <f t="shared" si="58"/>
        <v>0.8499797816417306</v>
      </c>
      <c r="J250" s="27">
        <v>321.7</v>
      </c>
      <c r="K250" s="27"/>
      <c r="L250" s="29">
        <f>F250-J250</f>
        <v>-74.399999999999977</v>
      </c>
    </row>
    <row r="251" spans="1:12" hidden="1">
      <c r="A251" s="21" t="s">
        <v>11</v>
      </c>
      <c r="B251" s="28">
        <v>1453.72</v>
      </c>
      <c r="C251" s="28">
        <v>532.54</v>
      </c>
      <c r="D251" s="28">
        <v>794</v>
      </c>
      <c r="E251" s="27">
        <v>1489.1</v>
      </c>
      <c r="F251" s="27">
        <v>1489.1</v>
      </c>
      <c r="G251" s="28">
        <v>268.10000000000002</v>
      </c>
      <c r="H251" s="27">
        <v>399.7</v>
      </c>
      <c r="I251" s="90">
        <f t="shared" si="58"/>
        <v>0.26841716473037408</v>
      </c>
      <c r="J251" s="27">
        <v>1186.9000000000001</v>
      </c>
      <c r="K251" s="27"/>
      <c r="L251" s="29">
        <f>F251-J251</f>
        <v>302.19999999999982</v>
      </c>
    </row>
    <row r="252" spans="1:12" hidden="1">
      <c r="A252" s="21" t="s">
        <v>12</v>
      </c>
      <c r="B252" s="28">
        <v>110.88</v>
      </c>
      <c r="C252" s="28">
        <v>2.0259999999999998</v>
      </c>
      <c r="D252" s="28">
        <v>82.6</v>
      </c>
      <c r="E252" s="27">
        <v>113.6</v>
      </c>
      <c r="F252" s="27">
        <v>113.6</v>
      </c>
      <c r="G252" s="28">
        <v>2.2999999999999998</v>
      </c>
      <c r="H252" s="27">
        <v>48.1</v>
      </c>
      <c r="I252" s="90">
        <f t="shared" si="58"/>
        <v>0.4234154929577465</v>
      </c>
      <c r="J252" s="27">
        <v>113.6</v>
      </c>
      <c r="K252" s="27"/>
      <c r="L252" s="29">
        <f>F252-J252</f>
        <v>0</v>
      </c>
    </row>
    <row r="253" spans="1:12" s="20" customFormat="1" hidden="1">
      <c r="A253" s="23" t="s">
        <v>71</v>
      </c>
      <c r="B253" s="25">
        <f t="shared" ref="B253:L253" si="71">B254+B255+B256</f>
        <v>6685.6399999999994</v>
      </c>
      <c r="C253" s="25"/>
      <c r="D253" s="25">
        <f t="shared" si="71"/>
        <v>6244.2000000000007</v>
      </c>
      <c r="E253" s="24">
        <f t="shared" si="71"/>
        <v>6848.1</v>
      </c>
      <c r="F253" s="24">
        <f t="shared" si="71"/>
        <v>6848.1</v>
      </c>
      <c r="G253" s="25"/>
      <c r="H253" s="24">
        <f t="shared" si="71"/>
        <v>3664.1</v>
      </c>
      <c r="I253" s="89">
        <f t="shared" si="58"/>
        <v>0.53505351849418081</v>
      </c>
      <c r="J253" s="24">
        <f t="shared" si="71"/>
        <v>6848.1</v>
      </c>
      <c r="K253" s="24"/>
      <c r="L253" s="24">
        <f t="shared" si="71"/>
        <v>0</v>
      </c>
    </row>
    <row r="254" spans="1:12" hidden="1">
      <c r="A254" s="21" t="s">
        <v>10</v>
      </c>
      <c r="B254" s="28">
        <v>1766.4</v>
      </c>
      <c r="C254" s="28">
        <v>326.60000000000002</v>
      </c>
      <c r="D254" s="28">
        <v>1590.9</v>
      </c>
      <c r="E254" s="27">
        <v>1784.6</v>
      </c>
      <c r="F254" s="27">
        <v>1784.6</v>
      </c>
      <c r="G254" s="28">
        <v>173.2</v>
      </c>
      <c r="H254" s="27">
        <v>556</v>
      </c>
      <c r="I254" s="90">
        <f t="shared" si="58"/>
        <v>0.31155440995180994</v>
      </c>
      <c r="J254" s="27">
        <v>1784.6</v>
      </c>
      <c r="K254" s="27"/>
      <c r="L254" s="29">
        <f>F254-J254</f>
        <v>0</v>
      </c>
    </row>
    <row r="255" spans="1:12" hidden="1">
      <c r="A255" s="21" t="s">
        <v>11</v>
      </c>
      <c r="B255" s="28">
        <v>4147.93</v>
      </c>
      <c r="C255" s="28">
        <v>2628.1</v>
      </c>
      <c r="D255" s="28">
        <v>3919.7</v>
      </c>
      <c r="E255" s="27">
        <v>4329.8999999999996</v>
      </c>
      <c r="F255" s="27">
        <v>4329.8999999999996</v>
      </c>
      <c r="G255" s="28">
        <v>1809</v>
      </c>
      <c r="H255" s="27">
        <v>2697.1</v>
      </c>
      <c r="I255" s="90">
        <f t="shared" si="58"/>
        <v>0.62290122173722262</v>
      </c>
      <c r="J255" s="27">
        <v>4329.8999999999996</v>
      </c>
      <c r="K255" s="27"/>
      <c r="L255" s="29">
        <f>F255-J255</f>
        <v>0</v>
      </c>
    </row>
    <row r="256" spans="1:12" hidden="1">
      <c r="A256" s="21" t="s">
        <v>12</v>
      </c>
      <c r="B256" s="28">
        <v>771.31</v>
      </c>
      <c r="C256" s="28">
        <v>17.899999999999999</v>
      </c>
      <c r="D256" s="28">
        <v>733.6</v>
      </c>
      <c r="E256" s="27">
        <v>733.6</v>
      </c>
      <c r="F256" s="27">
        <v>733.6</v>
      </c>
      <c r="G256" s="28">
        <v>9.6</v>
      </c>
      <c r="H256" s="27">
        <v>411</v>
      </c>
      <c r="I256" s="90">
        <f t="shared" si="58"/>
        <v>0.56025081788440567</v>
      </c>
      <c r="J256" s="27">
        <v>733.6</v>
      </c>
      <c r="K256" s="27"/>
      <c r="L256" s="29">
        <f>F256-J256</f>
        <v>0</v>
      </c>
    </row>
    <row r="257" spans="1:12">
      <c r="A257" s="21"/>
      <c r="B257" s="21"/>
      <c r="C257" s="22"/>
      <c r="D257" s="21"/>
      <c r="E257" s="21"/>
      <c r="F257" s="21"/>
      <c r="G257" s="22"/>
      <c r="H257" s="21"/>
      <c r="I257" s="89"/>
      <c r="J257" s="21"/>
      <c r="K257" s="21"/>
      <c r="L257" s="29"/>
    </row>
    <row r="258" spans="1:12" s="32" customFormat="1" ht="28.5">
      <c r="A258" s="30" t="s">
        <v>80</v>
      </c>
      <c r="B258" s="31">
        <f>B263+B267+B271+B275+B279</f>
        <v>16316.63</v>
      </c>
      <c r="C258" s="31"/>
      <c r="D258" s="31">
        <f t="shared" ref="C258:L261" si="72">D263+D267+D271+D275+D279</f>
        <v>8043.6299999999992</v>
      </c>
      <c r="E258" s="31">
        <f t="shared" si="72"/>
        <v>14893.2</v>
      </c>
      <c r="F258" s="31">
        <f t="shared" si="72"/>
        <v>14893.2</v>
      </c>
      <c r="G258" s="31"/>
      <c r="H258" s="31">
        <f t="shared" si="72"/>
        <v>5919.1449999999995</v>
      </c>
      <c r="I258" s="86">
        <f t="shared" si="58"/>
        <v>0.39743943544704963</v>
      </c>
      <c r="J258" s="31">
        <f>J263+J267+J271+J275+J279</f>
        <v>13813.8</v>
      </c>
      <c r="K258" s="31">
        <f>K263+K267+K271+K275+K279</f>
        <v>0</v>
      </c>
      <c r="L258" s="31">
        <f>L263+L267+L271+L275+L279</f>
        <v>1079.4000000000001</v>
      </c>
    </row>
    <row r="259" spans="1:12" s="35" customFormat="1" ht="24" customHeight="1">
      <c r="A259" s="33" t="s">
        <v>10</v>
      </c>
      <c r="B259" s="34">
        <f>B264+B268+B272+B276+B280</f>
        <v>2664.3599999999997</v>
      </c>
      <c r="C259" s="34">
        <f t="shared" si="72"/>
        <v>431.08000000000004</v>
      </c>
      <c r="D259" s="34">
        <f t="shared" si="72"/>
        <v>2138.0100000000002</v>
      </c>
      <c r="E259" s="34">
        <f t="shared" si="72"/>
        <v>3575.5</v>
      </c>
      <c r="F259" s="34">
        <f t="shared" si="72"/>
        <v>3575.5</v>
      </c>
      <c r="G259" s="34">
        <f t="shared" si="72"/>
        <v>274.77999999999997</v>
      </c>
      <c r="H259" s="34">
        <f t="shared" si="72"/>
        <v>1448.1749999999997</v>
      </c>
      <c r="I259" s="87">
        <f t="shared" si="58"/>
        <v>0.4050272689134386</v>
      </c>
      <c r="J259" s="34">
        <f t="shared" si="72"/>
        <v>3486.2</v>
      </c>
      <c r="K259" s="34">
        <f>E259-F259</f>
        <v>0</v>
      </c>
      <c r="L259" s="34">
        <f t="shared" si="72"/>
        <v>89.300000000000011</v>
      </c>
    </row>
    <row r="260" spans="1:12" s="35" customFormat="1" ht="24" customHeight="1">
      <c r="A260" s="33" t="s">
        <v>11</v>
      </c>
      <c r="B260" s="34">
        <f>B265+B269+B273+B277+B281</f>
        <v>9780.9</v>
      </c>
      <c r="C260" s="34">
        <f t="shared" si="72"/>
        <v>2922.02</v>
      </c>
      <c r="D260" s="34">
        <f t="shared" si="72"/>
        <v>4339.3499999999995</v>
      </c>
      <c r="E260" s="34">
        <f t="shared" si="72"/>
        <v>9025.51</v>
      </c>
      <c r="F260" s="34">
        <f t="shared" si="72"/>
        <v>9025.51</v>
      </c>
      <c r="G260" s="34">
        <f t="shared" si="72"/>
        <v>2291.73</v>
      </c>
      <c r="H260" s="34">
        <f t="shared" si="72"/>
        <v>3403.0619999999999</v>
      </c>
      <c r="I260" s="87">
        <f t="shared" si="58"/>
        <v>0.37704927477782418</v>
      </c>
      <c r="J260" s="34">
        <f t="shared" si="72"/>
        <v>8048.6100000000006</v>
      </c>
      <c r="K260" s="34">
        <f t="shared" ref="K260:K261" si="73">E260-F260</f>
        <v>0</v>
      </c>
      <c r="L260" s="34">
        <f t="shared" si="72"/>
        <v>976.90000000000009</v>
      </c>
    </row>
    <row r="261" spans="1:12" s="35" customFormat="1" ht="24" customHeight="1">
      <c r="A261" s="33" t="s">
        <v>12</v>
      </c>
      <c r="B261" s="34">
        <f>B266+B270+B274+B278+B282</f>
        <v>3871.37</v>
      </c>
      <c r="C261" s="34">
        <f t="shared" si="72"/>
        <v>22.36</v>
      </c>
      <c r="D261" s="34">
        <f t="shared" si="72"/>
        <v>1566.2699999999998</v>
      </c>
      <c r="E261" s="34">
        <f t="shared" si="72"/>
        <v>2292.19</v>
      </c>
      <c r="F261" s="34">
        <f t="shared" si="72"/>
        <v>2292.19</v>
      </c>
      <c r="G261" s="34">
        <f t="shared" si="72"/>
        <v>22.203999999999997</v>
      </c>
      <c r="H261" s="34">
        <f t="shared" si="72"/>
        <v>1067.9080000000001</v>
      </c>
      <c r="I261" s="87">
        <f t="shared" si="58"/>
        <v>0.46588982588703381</v>
      </c>
      <c r="J261" s="34">
        <f t="shared" si="72"/>
        <v>2278.9900000000002</v>
      </c>
      <c r="K261" s="34">
        <f t="shared" si="73"/>
        <v>0</v>
      </c>
      <c r="L261" s="34">
        <f t="shared" si="72"/>
        <v>13.200000000000003</v>
      </c>
    </row>
    <row r="262" spans="1:12" hidden="1">
      <c r="A262" s="21" t="s">
        <v>9</v>
      </c>
      <c r="B262" s="21"/>
      <c r="C262" s="22"/>
      <c r="D262" s="22"/>
      <c r="E262" s="21"/>
      <c r="F262" s="21"/>
      <c r="G262" s="22"/>
      <c r="H262" s="21"/>
      <c r="I262" s="89"/>
      <c r="J262" s="21"/>
      <c r="K262" s="21"/>
      <c r="L262" s="29"/>
    </row>
    <row r="263" spans="1:12" hidden="1">
      <c r="A263" s="23" t="s">
        <v>62</v>
      </c>
      <c r="B263" s="24">
        <f>B264+B265+B266</f>
        <v>677.28</v>
      </c>
      <c r="C263" s="25"/>
      <c r="D263" s="25">
        <f>D264+D265+D266</f>
        <v>349.23</v>
      </c>
      <c r="E263" s="24">
        <f>E264+E265+E266</f>
        <v>693.7</v>
      </c>
      <c r="F263" s="24">
        <f>F264+F265+F266</f>
        <v>693.7</v>
      </c>
      <c r="G263" s="25"/>
      <c r="H263" s="24">
        <f>H264+H265+H266</f>
        <v>190.44500000000002</v>
      </c>
      <c r="I263" s="89">
        <f t="shared" si="58"/>
        <v>0.27453510162894623</v>
      </c>
      <c r="J263" s="24">
        <f>J264+J265+J266</f>
        <v>584.70000000000005</v>
      </c>
      <c r="K263" s="24"/>
      <c r="L263" s="24">
        <f>L264+L265+L266</f>
        <v>109</v>
      </c>
    </row>
    <row r="264" spans="1:12" hidden="1">
      <c r="A264" s="21" t="s">
        <v>10</v>
      </c>
      <c r="B264" s="27">
        <v>65.739999999999995</v>
      </c>
      <c r="C264" s="28">
        <v>16.88</v>
      </c>
      <c r="D264" s="28">
        <v>82.21</v>
      </c>
      <c r="E264" s="27">
        <v>66</v>
      </c>
      <c r="F264" s="27">
        <v>66</v>
      </c>
      <c r="G264" s="28">
        <v>7.98</v>
      </c>
      <c r="H264" s="27">
        <v>27.175000000000001</v>
      </c>
      <c r="I264" s="90">
        <f t="shared" si="58"/>
        <v>0.41174242424242424</v>
      </c>
      <c r="J264" s="27">
        <f>E264</f>
        <v>66</v>
      </c>
      <c r="K264" s="27"/>
      <c r="L264" s="29">
        <f>F264-J264</f>
        <v>0</v>
      </c>
    </row>
    <row r="265" spans="1:12" hidden="1">
      <c r="A265" s="21" t="s">
        <v>11</v>
      </c>
      <c r="B265" s="27">
        <v>593.41999999999996</v>
      </c>
      <c r="C265" s="28">
        <v>170.46</v>
      </c>
      <c r="D265" s="28">
        <v>254.15</v>
      </c>
      <c r="E265" s="27">
        <v>610.21</v>
      </c>
      <c r="F265" s="27">
        <v>610.21</v>
      </c>
      <c r="G265" s="28">
        <v>116.82</v>
      </c>
      <c r="H265" s="27">
        <v>159.262</v>
      </c>
      <c r="I265" s="90">
        <f t="shared" si="58"/>
        <v>0.26099539502794117</v>
      </c>
      <c r="J265" s="27">
        <f>E265-109</f>
        <v>501.21000000000004</v>
      </c>
      <c r="K265" s="27"/>
      <c r="L265" s="29">
        <f>F265-J265</f>
        <v>109</v>
      </c>
    </row>
    <row r="266" spans="1:12" hidden="1">
      <c r="A266" s="21" t="s">
        <v>12</v>
      </c>
      <c r="B266" s="27">
        <v>18.12</v>
      </c>
      <c r="C266" s="28">
        <v>3.16</v>
      </c>
      <c r="D266" s="28">
        <v>12.87</v>
      </c>
      <c r="E266" s="27">
        <v>17.489999999999998</v>
      </c>
      <c r="F266" s="27">
        <v>17.489999999999998</v>
      </c>
      <c r="G266" s="28">
        <v>0.104</v>
      </c>
      <c r="H266" s="27">
        <v>4.008</v>
      </c>
      <c r="I266" s="90">
        <f t="shared" si="58"/>
        <v>0.22915951972555748</v>
      </c>
      <c r="J266" s="27">
        <f>E266</f>
        <v>17.489999999999998</v>
      </c>
      <c r="K266" s="27"/>
      <c r="L266" s="29">
        <f>F266-J266</f>
        <v>0</v>
      </c>
    </row>
    <row r="267" spans="1:12" s="3" customFormat="1" hidden="1">
      <c r="A267" s="36" t="s">
        <v>75</v>
      </c>
      <c r="B267" s="25">
        <f>B268+B269+B270</f>
        <v>5466.95</v>
      </c>
      <c r="C267" s="25"/>
      <c r="D267" s="25">
        <f t="shared" ref="D267:L267" si="74">D268+D269+D270</f>
        <v>2843.1</v>
      </c>
      <c r="E267" s="25">
        <f t="shared" si="74"/>
        <v>5000</v>
      </c>
      <c r="F267" s="25">
        <f t="shared" si="74"/>
        <v>5000</v>
      </c>
      <c r="G267" s="25"/>
      <c r="H267" s="25">
        <f t="shared" si="74"/>
        <v>1964.7999999999997</v>
      </c>
      <c r="I267" s="89">
        <f t="shared" si="58"/>
        <v>0.39295999999999992</v>
      </c>
      <c r="J267" s="25">
        <f t="shared" si="74"/>
        <v>5000</v>
      </c>
      <c r="K267" s="25"/>
      <c r="L267" s="25">
        <f t="shared" si="74"/>
        <v>0</v>
      </c>
    </row>
    <row r="268" spans="1:12" s="3" customFormat="1" hidden="1">
      <c r="A268" s="22" t="s">
        <v>10</v>
      </c>
      <c r="B268" s="28">
        <v>958.48</v>
      </c>
      <c r="C268" s="28">
        <v>164.5</v>
      </c>
      <c r="D268" s="28">
        <v>776</v>
      </c>
      <c r="E268" s="28">
        <v>1867.8</v>
      </c>
      <c r="F268" s="28">
        <v>1867.8</v>
      </c>
      <c r="G268" s="28">
        <v>119</v>
      </c>
      <c r="H268" s="28">
        <v>620.29999999999995</v>
      </c>
      <c r="I268" s="90">
        <f t="shared" ref="I268:I331" si="75">H268/E268</f>
        <v>0.33210193810900523</v>
      </c>
      <c r="J268" s="28">
        <v>1867.8</v>
      </c>
      <c r="K268" s="28"/>
      <c r="L268" s="29">
        <f>F268-J268</f>
        <v>0</v>
      </c>
    </row>
    <row r="269" spans="1:12" s="3" customFormat="1" hidden="1">
      <c r="A269" s="22" t="s">
        <v>11</v>
      </c>
      <c r="B269" s="28">
        <v>1344.87</v>
      </c>
      <c r="C269" s="28">
        <v>504.23</v>
      </c>
      <c r="D269" s="28">
        <v>751.5</v>
      </c>
      <c r="E269" s="28">
        <v>1231.4000000000001</v>
      </c>
      <c r="F269" s="28">
        <v>1231.4000000000001</v>
      </c>
      <c r="G269" s="28">
        <v>294.39999999999998</v>
      </c>
      <c r="H269" s="28">
        <v>438.9</v>
      </c>
      <c r="I269" s="90">
        <f t="shared" si="75"/>
        <v>0.35642358291375664</v>
      </c>
      <c r="J269" s="28">
        <v>1231.4000000000001</v>
      </c>
      <c r="K269" s="28"/>
      <c r="L269" s="29">
        <f>F269-J269</f>
        <v>0</v>
      </c>
    </row>
    <row r="270" spans="1:12" s="3" customFormat="1" hidden="1">
      <c r="A270" s="22" t="s">
        <v>81</v>
      </c>
      <c r="B270" s="28">
        <v>3163.6</v>
      </c>
      <c r="C270" s="28">
        <v>13.3</v>
      </c>
      <c r="D270" s="28">
        <v>1315.6</v>
      </c>
      <c r="E270" s="28">
        <v>1900.8</v>
      </c>
      <c r="F270" s="28">
        <v>1900.8</v>
      </c>
      <c r="G270" s="28">
        <v>18.399999999999999</v>
      </c>
      <c r="H270" s="28">
        <v>905.6</v>
      </c>
      <c r="I270" s="90">
        <f t="shared" si="75"/>
        <v>0.47643097643097643</v>
      </c>
      <c r="J270" s="28">
        <v>1900.8</v>
      </c>
      <c r="K270" s="28"/>
      <c r="L270" s="29">
        <f>F270-J270</f>
        <v>0</v>
      </c>
    </row>
    <row r="271" spans="1:12" hidden="1">
      <c r="A271" s="23" t="s">
        <v>76</v>
      </c>
      <c r="B271" s="25">
        <f t="shared" ref="B271:L271" si="76">B272+B273+B274</f>
        <v>1657.6200000000001</v>
      </c>
      <c r="C271" s="25"/>
      <c r="D271" s="25">
        <f t="shared" si="76"/>
        <v>1293.2999999999997</v>
      </c>
      <c r="E271" s="24">
        <f t="shared" si="76"/>
        <v>1751</v>
      </c>
      <c r="F271" s="24">
        <f t="shared" si="76"/>
        <v>1751</v>
      </c>
      <c r="G271" s="25"/>
      <c r="H271" s="24">
        <f t="shared" si="76"/>
        <v>960.7</v>
      </c>
      <c r="I271" s="89">
        <f t="shared" si="75"/>
        <v>0.54865790976584816</v>
      </c>
      <c r="J271" s="24">
        <f t="shared" si="76"/>
        <v>1751</v>
      </c>
      <c r="K271" s="24"/>
      <c r="L271" s="24">
        <f t="shared" si="76"/>
        <v>0</v>
      </c>
    </row>
    <row r="272" spans="1:12" hidden="1">
      <c r="A272" s="21" t="s">
        <v>10</v>
      </c>
      <c r="B272" s="28">
        <v>542.82000000000005</v>
      </c>
      <c r="C272" s="28">
        <v>96.6</v>
      </c>
      <c r="D272" s="28">
        <v>465.9</v>
      </c>
      <c r="E272" s="27">
        <v>573.20000000000005</v>
      </c>
      <c r="F272" s="27">
        <v>573.20000000000005</v>
      </c>
      <c r="G272" s="28">
        <v>59.9</v>
      </c>
      <c r="H272" s="27">
        <v>326.3</v>
      </c>
      <c r="I272" s="90">
        <f t="shared" si="75"/>
        <v>0.56926029309141657</v>
      </c>
      <c r="J272" s="27">
        <v>573.20000000000005</v>
      </c>
      <c r="K272" s="27"/>
      <c r="L272" s="29">
        <f>F272-J272</f>
        <v>0</v>
      </c>
    </row>
    <row r="273" spans="1:12" hidden="1">
      <c r="A273" s="21" t="s">
        <v>11</v>
      </c>
      <c r="B273" s="28">
        <v>909.5</v>
      </c>
      <c r="C273" s="28">
        <v>486.5</v>
      </c>
      <c r="D273" s="28">
        <v>708.3</v>
      </c>
      <c r="E273" s="27">
        <v>960.4</v>
      </c>
      <c r="F273" s="27">
        <v>960.4</v>
      </c>
      <c r="G273" s="28">
        <v>363.1</v>
      </c>
      <c r="H273" s="27">
        <v>545.4</v>
      </c>
      <c r="I273" s="90">
        <f t="shared" si="75"/>
        <v>0.56788837984173257</v>
      </c>
      <c r="J273" s="27">
        <v>960.4</v>
      </c>
      <c r="K273" s="27"/>
      <c r="L273" s="29">
        <f>F273-J273</f>
        <v>0</v>
      </c>
    </row>
    <row r="274" spans="1:12" hidden="1">
      <c r="A274" s="21" t="s">
        <v>12</v>
      </c>
      <c r="B274" s="28">
        <v>205.3</v>
      </c>
      <c r="C274" s="28">
        <v>3</v>
      </c>
      <c r="D274" s="28">
        <v>119.1</v>
      </c>
      <c r="E274" s="27">
        <v>217.4</v>
      </c>
      <c r="F274" s="27">
        <v>217.4</v>
      </c>
      <c r="G274" s="28">
        <v>2.1</v>
      </c>
      <c r="H274" s="27">
        <v>89</v>
      </c>
      <c r="I274" s="90">
        <f t="shared" si="75"/>
        <v>0.40938362465501377</v>
      </c>
      <c r="J274" s="27">
        <v>217.4</v>
      </c>
      <c r="K274" s="27"/>
      <c r="L274" s="29">
        <f>F274-J274</f>
        <v>0</v>
      </c>
    </row>
    <row r="275" spans="1:12" hidden="1">
      <c r="A275" s="23" t="s">
        <v>77</v>
      </c>
      <c r="B275" s="25">
        <f t="shared" ref="B275:L275" si="77">B276+B277+B278</f>
        <v>1402.1699999999998</v>
      </c>
      <c r="C275" s="25"/>
      <c r="D275" s="25">
        <f t="shared" si="77"/>
        <v>473.79999999999995</v>
      </c>
      <c r="E275" s="24">
        <f t="shared" si="77"/>
        <v>1436.3000000000002</v>
      </c>
      <c r="F275" s="24">
        <f t="shared" si="77"/>
        <v>1436.3000000000002</v>
      </c>
      <c r="G275" s="25"/>
      <c r="H275" s="24">
        <f t="shared" si="77"/>
        <v>295.90000000000003</v>
      </c>
      <c r="I275" s="89">
        <f t="shared" si="75"/>
        <v>0.2060154563809789</v>
      </c>
      <c r="J275" s="24">
        <f t="shared" si="77"/>
        <v>670.9</v>
      </c>
      <c r="K275" s="24"/>
      <c r="L275" s="24">
        <f t="shared" si="77"/>
        <v>765.40000000000009</v>
      </c>
    </row>
    <row r="276" spans="1:12" hidden="1">
      <c r="A276" s="21" t="s">
        <v>10</v>
      </c>
      <c r="B276" s="28">
        <v>203.06</v>
      </c>
      <c r="C276" s="28">
        <v>21.2</v>
      </c>
      <c r="D276" s="28">
        <v>112.6</v>
      </c>
      <c r="E276" s="27">
        <v>207.9</v>
      </c>
      <c r="F276" s="27">
        <v>207.9</v>
      </c>
      <c r="G276" s="28">
        <v>7.4</v>
      </c>
      <c r="H276" s="27">
        <v>39.299999999999997</v>
      </c>
      <c r="I276" s="90">
        <f t="shared" si="75"/>
        <v>0.18903318903318903</v>
      </c>
      <c r="J276" s="27">
        <f>79.3+39.3</f>
        <v>118.6</v>
      </c>
      <c r="K276" s="27"/>
      <c r="L276" s="29">
        <f>F276-J276</f>
        <v>89.300000000000011</v>
      </c>
    </row>
    <row r="277" spans="1:12" hidden="1">
      <c r="A277" s="21" t="s">
        <v>11</v>
      </c>
      <c r="B277" s="28">
        <v>1154.03</v>
      </c>
      <c r="C277" s="28">
        <v>223.8</v>
      </c>
      <c r="D277" s="28">
        <v>333.7</v>
      </c>
      <c r="E277" s="27">
        <v>1180.7</v>
      </c>
      <c r="F277" s="27">
        <v>1180.7</v>
      </c>
      <c r="G277" s="28">
        <v>163.19999999999999</v>
      </c>
      <c r="H277" s="27">
        <v>240.5</v>
      </c>
      <c r="I277" s="90">
        <f t="shared" si="75"/>
        <v>0.20369272465486574</v>
      </c>
      <c r="J277" s="27">
        <f>277.3+240.5</f>
        <v>517.79999999999995</v>
      </c>
      <c r="K277" s="27"/>
      <c r="L277" s="29">
        <f>F277-J277</f>
        <v>662.90000000000009</v>
      </c>
    </row>
    <row r="278" spans="1:12" hidden="1">
      <c r="A278" s="21" t="s">
        <v>12</v>
      </c>
      <c r="B278" s="28">
        <v>45.08</v>
      </c>
      <c r="C278" s="28">
        <v>0.7</v>
      </c>
      <c r="D278" s="28">
        <v>27.5</v>
      </c>
      <c r="E278" s="27">
        <v>47.7</v>
      </c>
      <c r="F278" s="27">
        <v>47.7</v>
      </c>
      <c r="G278" s="28">
        <v>0.4</v>
      </c>
      <c r="H278" s="27">
        <v>16.100000000000001</v>
      </c>
      <c r="I278" s="90">
        <f t="shared" si="75"/>
        <v>0.33752620545073375</v>
      </c>
      <c r="J278" s="27">
        <f>18.4+16.1</f>
        <v>34.5</v>
      </c>
      <c r="K278" s="27"/>
      <c r="L278" s="29">
        <f>F278-J278</f>
        <v>13.200000000000003</v>
      </c>
    </row>
    <row r="279" spans="1:12" hidden="1">
      <c r="A279" s="23" t="s">
        <v>82</v>
      </c>
      <c r="B279" s="25">
        <f t="shared" ref="B279:L279" si="78">B280+B281+B282</f>
        <v>7112.6100000000006</v>
      </c>
      <c r="C279" s="25"/>
      <c r="D279" s="25">
        <f t="shared" si="78"/>
        <v>3084.2</v>
      </c>
      <c r="E279" s="24">
        <f t="shared" si="78"/>
        <v>6012.2000000000007</v>
      </c>
      <c r="F279" s="24">
        <f t="shared" si="78"/>
        <v>6012.2000000000007</v>
      </c>
      <c r="G279" s="25"/>
      <c r="H279" s="24">
        <f t="shared" si="78"/>
        <v>2507.2999999999997</v>
      </c>
      <c r="I279" s="89">
        <f t="shared" si="75"/>
        <v>0.41703536143175535</v>
      </c>
      <c r="J279" s="24">
        <f t="shared" si="78"/>
        <v>5807.2000000000007</v>
      </c>
      <c r="K279" s="24"/>
      <c r="L279" s="24">
        <f t="shared" si="78"/>
        <v>205</v>
      </c>
    </row>
    <row r="280" spans="1:12" hidden="1">
      <c r="A280" s="21" t="s">
        <v>10</v>
      </c>
      <c r="B280" s="28">
        <v>894.26</v>
      </c>
      <c r="C280" s="28">
        <v>131.9</v>
      </c>
      <c r="D280" s="28">
        <v>701.3</v>
      </c>
      <c r="E280" s="27">
        <v>860.6</v>
      </c>
      <c r="F280" s="27">
        <v>860.6</v>
      </c>
      <c r="G280" s="28">
        <v>80.5</v>
      </c>
      <c r="H280" s="27">
        <v>435.1</v>
      </c>
      <c r="I280" s="90">
        <f t="shared" si="75"/>
        <v>0.50557750406693003</v>
      </c>
      <c r="J280" s="27">
        <v>860.6</v>
      </c>
      <c r="K280" s="27"/>
      <c r="L280" s="29">
        <f>F280-J280</f>
        <v>0</v>
      </c>
    </row>
    <row r="281" spans="1:12" hidden="1">
      <c r="A281" s="21" t="s">
        <v>11</v>
      </c>
      <c r="B281" s="28">
        <v>5779.08</v>
      </c>
      <c r="C281" s="28">
        <v>1537.03</v>
      </c>
      <c r="D281" s="28">
        <v>2291.6999999999998</v>
      </c>
      <c r="E281" s="27">
        <v>5042.8</v>
      </c>
      <c r="F281" s="27">
        <v>5042.8</v>
      </c>
      <c r="G281" s="28">
        <v>1354.21</v>
      </c>
      <c r="H281" s="27">
        <v>2019</v>
      </c>
      <c r="I281" s="90">
        <f t="shared" si="75"/>
        <v>0.40037280875703973</v>
      </c>
      <c r="J281" s="27">
        <f>5042.8-205</f>
        <v>4837.8</v>
      </c>
      <c r="K281" s="27"/>
      <c r="L281" s="29">
        <f>F281-J281</f>
        <v>205</v>
      </c>
    </row>
    <row r="282" spans="1:12" hidden="1">
      <c r="A282" s="21" t="s">
        <v>12</v>
      </c>
      <c r="B282" s="28">
        <v>439.27</v>
      </c>
      <c r="C282" s="28">
        <v>2.2000000000000002</v>
      </c>
      <c r="D282" s="28">
        <v>91.2</v>
      </c>
      <c r="E282" s="27">
        <v>108.8</v>
      </c>
      <c r="F282" s="27">
        <v>108.8</v>
      </c>
      <c r="G282" s="28">
        <v>1.2</v>
      </c>
      <c r="H282" s="27">
        <v>53.2</v>
      </c>
      <c r="I282" s="90">
        <f t="shared" si="75"/>
        <v>0.48897058823529416</v>
      </c>
      <c r="J282" s="27">
        <v>108.8</v>
      </c>
      <c r="K282" s="27"/>
      <c r="L282" s="29">
        <f>F282-J282</f>
        <v>0</v>
      </c>
    </row>
    <row r="283" spans="1:12">
      <c r="A283" s="21"/>
      <c r="B283" s="21"/>
      <c r="C283" s="22"/>
      <c r="D283" s="21"/>
      <c r="E283" s="21"/>
      <c r="F283" s="21"/>
      <c r="G283" s="22"/>
      <c r="H283" s="21"/>
      <c r="I283" s="89"/>
      <c r="J283" s="21"/>
      <c r="K283" s="21"/>
      <c r="L283" s="21"/>
    </row>
    <row r="284" spans="1:12" hidden="1">
      <c r="A284" s="21" t="s">
        <v>84</v>
      </c>
      <c r="B284" s="21"/>
      <c r="C284" s="22"/>
      <c r="D284" s="21"/>
      <c r="E284" s="21"/>
      <c r="F284" s="21"/>
      <c r="G284" s="22"/>
      <c r="H284" s="21"/>
      <c r="I284" s="89"/>
      <c r="J284" s="21"/>
      <c r="K284" s="21"/>
      <c r="L284" s="21"/>
    </row>
    <row r="285" spans="1:12" s="39" customFormat="1" ht="30">
      <c r="A285" s="37" t="s">
        <v>86</v>
      </c>
      <c r="B285" s="38">
        <f>B258+B168+B6</f>
        <v>153287.71</v>
      </c>
      <c r="C285" s="38"/>
      <c r="D285" s="38">
        <f t="shared" ref="D285:L285" si="79">D258+D168+D6</f>
        <v>124320.64200000001</v>
      </c>
      <c r="E285" s="38">
        <f t="shared" si="79"/>
        <v>154570.503</v>
      </c>
      <c r="F285" s="38">
        <f t="shared" si="79"/>
        <v>154570.503</v>
      </c>
      <c r="G285" s="38"/>
      <c r="H285" s="38">
        <f t="shared" si="79"/>
        <v>69625.812999999995</v>
      </c>
      <c r="I285" s="93">
        <f t="shared" si="75"/>
        <v>0.45044695882240865</v>
      </c>
      <c r="J285" s="38">
        <f t="shared" si="79"/>
        <v>151340.133</v>
      </c>
      <c r="K285" s="38">
        <f t="shared" si="79"/>
        <v>0</v>
      </c>
      <c r="L285" s="38">
        <f t="shared" si="79"/>
        <v>3230.37</v>
      </c>
    </row>
    <row r="286" spans="1:12" s="17" customFormat="1" ht="19.5" customHeight="1">
      <c r="A286" s="40" t="s">
        <v>10</v>
      </c>
      <c r="B286" s="38">
        <f t="shared" ref="B286:L288" si="80">B259+B169+B7</f>
        <v>30575.42</v>
      </c>
      <c r="C286" s="38">
        <f t="shared" si="80"/>
        <v>5723.4540000000006</v>
      </c>
      <c r="D286" s="38">
        <f t="shared" si="80"/>
        <v>29933.664000000001</v>
      </c>
      <c r="E286" s="38">
        <f t="shared" si="80"/>
        <v>35267.879999999997</v>
      </c>
      <c r="F286" s="38">
        <f t="shared" si="80"/>
        <v>35267.879999999997</v>
      </c>
      <c r="G286" s="38">
        <f t="shared" si="80"/>
        <v>2886.7809999999999</v>
      </c>
      <c r="H286" s="38">
        <f t="shared" si="80"/>
        <v>14408.539999999999</v>
      </c>
      <c r="I286" s="94">
        <f t="shared" si="75"/>
        <v>0.4085456795248254</v>
      </c>
      <c r="J286" s="38">
        <f t="shared" si="80"/>
        <v>35198.649999999994</v>
      </c>
      <c r="K286" s="38">
        <f t="shared" si="80"/>
        <v>0</v>
      </c>
      <c r="L286" s="38">
        <f t="shared" si="80"/>
        <v>69.230000000000018</v>
      </c>
    </row>
    <row r="287" spans="1:12" s="17" customFormat="1" ht="19.5" customHeight="1">
      <c r="A287" s="40" t="s">
        <v>11</v>
      </c>
      <c r="B287" s="38">
        <f t="shared" si="80"/>
        <v>106437.20000000001</v>
      </c>
      <c r="C287" s="38">
        <f t="shared" si="80"/>
        <v>54333.18</v>
      </c>
      <c r="D287" s="38">
        <f t="shared" si="80"/>
        <v>81391.777999999991</v>
      </c>
      <c r="E287" s="38">
        <f t="shared" si="80"/>
        <v>104601.39300000001</v>
      </c>
      <c r="F287" s="38">
        <f t="shared" si="80"/>
        <v>104601.39300000001</v>
      </c>
      <c r="G287" s="38">
        <f t="shared" si="80"/>
        <v>32615.504000000001</v>
      </c>
      <c r="H287" s="38">
        <f t="shared" si="80"/>
        <v>48371.58</v>
      </c>
      <c r="I287" s="94">
        <f t="shared" si="75"/>
        <v>0.46243724498009309</v>
      </c>
      <c r="J287" s="38">
        <f t="shared" si="80"/>
        <v>101418.29300000003</v>
      </c>
      <c r="K287" s="38">
        <f t="shared" si="80"/>
        <v>0</v>
      </c>
      <c r="L287" s="38">
        <f t="shared" si="80"/>
        <v>3183.1</v>
      </c>
    </row>
    <row r="288" spans="1:12" s="17" customFormat="1" ht="24.75" customHeight="1">
      <c r="A288" s="40" t="s">
        <v>12</v>
      </c>
      <c r="B288" s="38">
        <f t="shared" si="80"/>
        <v>16275.090000000004</v>
      </c>
      <c r="C288" s="38">
        <f t="shared" si="80"/>
        <v>295.10199999999998</v>
      </c>
      <c r="D288" s="38">
        <f t="shared" si="80"/>
        <v>12995.2</v>
      </c>
      <c r="E288" s="38">
        <f t="shared" si="80"/>
        <v>14701.23</v>
      </c>
      <c r="F288" s="38">
        <f t="shared" si="80"/>
        <v>14701.23</v>
      </c>
      <c r="G288" s="38">
        <f t="shared" si="80"/>
        <v>161.46099999999998</v>
      </c>
      <c r="H288" s="38">
        <f t="shared" si="80"/>
        <v>6845.6930000000011</v>
      </c>
      <c r="I288" s="94">
        <f t="shared" si="75"/>
        <v>0.46565443843814436</v>
      </c>
      <c r="J288" s="38">
        <f t="shared" si="80"/>
        <v>14723.190000000002</v>
      </c>
      <c r="K288" s="38">
        <f t="shared" si="80"/>
        <v>0</v>
      </c>
      <c r="L288" s="38">
        <f t="shared" si="80"/>
        <v>-21.959999999999994</v>
      </c>
    </row>
    <row r="289" spans="1:12" s="41" customFormat="1">
      <c r="A289" s="75"/>
      <c r="B289" s="76"/>
      <c r="C289" s="76"/>
      <c r="D289" s="76"/>
      <c r="E289" s="76"/>
      <c r="F289" s="76"/>
      <c r="G289" s="76"/>
      <c r="H289" s="76"/>
      <c r="I289" s="89"/>
      <c r="J289" s="76"/>
      <c r="K289" s="76"/>
      <c r="L289" s="76"/>
    </row>
    <row r="290" spans="1:12">
      <c r="A290" s="42" t="s">
        <v>100</v>
      </c>
      <c r="B290" s="21"/>
      <c r="C290" s="22"/>
      <c r="D290" s="21"/>
      <c r="E290" s="21"/>
      <c r="F290" s="21"/>
      <c r="G290" s="22"/>
      <c r="H290" s="21"/>
      <c r="I290" s="89"/>
      <c r="J290" s="21"/>
      <c r="K290" s="21"/>
      <c r="L290" s="21"/>
    </row>
    <row r="291" spans="1:12" ht="33" customHeight="1">
      <c r="A291" s="43" t="s">
        <v>80</v>
      </c>
      <c r="B291" s="16">
        <f>B292+B293+B294</f>
        <v>2045.67</v>
      </c>
      <c r="C291" s="16"/>
      <c r="D291" s="16">
        <f t="shared" ref="D291" si="81">D292+D293+D294</f>
        <v>1829.8000000000002</v>
      </c>
      <c r="E291" s="16">
        <f>E296+E301+E306+E311</f>
        <v>2183.5</v>
      </c>
      <c r="F291" s="16">
        <f>F296+F301+F306+F311</f>
        <v>2059.9499999999998</v>
      </c>
      <c r="G291" s="16"/>
      <c r="H291" s="16">
        <f>H292+H293+H294</f>
        <v>1001.8999999999999</v>
      </c>
      <c r="I291" s="86">
        <f t="shared" si="75"/>
        <v>0.45885046942981444</v>
      </c>
      <c r="J291" s="16">
        <f>J292+J293+J294</f>
        <v>1909.7999999999997</v>
      </c>
      <c r="K291" s="16">
        <f>K296+K301+K306+K311</f>
        <v>123.54999999999995</v>
      </c>
      <c r="L291" s="16">
        <f>L296+L301+L306+L311</f>
        <v>150.14999999999998</v>
      </c>
    </row>
    <row r="292" spans="1:12" ht="20.25" customHeight="1">
      <c r="A292" s="33" t="s">
        <v>10</v>
      </c>
      <c r="B292" s="19">
        <f>B297+B302+B307+B312</f>
        <v>344.38</v>
      </c>
      <c r="C292" s="19">
        <f t="shared" ref="C292:L292" si="82">C297+C302+C307+C312</f>
        <v>76</v>
      </c>
      <c r="D292" s="19">
        <f t="shared" si="82"/>
        <v>391.9</v>
      </c>
      <c r="E292" s="19">
        <f t="shared" si="82"/>
        <v>464.5</v>
      </c>
      <c r="F292" s="19">
        <f>F297+F302+F307+F312</f>
        <v>396.99</v>
      </c>
      <c r="G292" s="19">
        <f t="shared" si="82"/>
        <v>39129</v>
      </c>
      <c r="H292" s="19">
        <f t="shared" si="82"/>
        <v>210.7</v>
      </c>
      <c r="I292" s="87">
        <f t="shared" si="75"/>
        <v>0.45360602798708288</v>
      </c>
      <c r="J292" s="19">
        <f t="shared" si="82"/>
        <v>393.6</v>
      </c>
      <c r="K292" s="19">
        <f t="shared" si="82"/>
        <v>67.509999999999991</v>
      </c>
      <c r="L292" s="19">
        <f t="shared" si="82"/>
        <v>3.3899999999999935</v>
      </c>
    </row>
    <row r="293" spans="1:12" ht="21" customHeight="1">
      <c r="A293" s="33" t="s">
        <v>11</v>
      </c>
      <c r="B293" s="19">
        <f t="shared" ref="B293:L294" si="83">B298+B303+B308+B313</f>
        <v>1656.6399999999999</v>
      </c>
      <c r="C293" s="19">
        <f t="shared" si="83"/>
        <v>907.93999999999994</v>
      </c>
      <c r="D293" s="19">
        <f t="shared" si="83"/>
        <v>1398.4</v>
      </c>
      <c r="E293" s="19">
        <f t="shared" si="83"/>
        <v>1664.3</v>
      </c>
      <c r="F293" s="19">
        <f t="shared" si="83"/>
        <v>1610.34</v>
      </c>
      <c r="G293" s="19">
        <f t="shared" si="83"/>
        <v>515.03</v>
      </c>
      <c r="H293" s="19">
        <f t="shared" si="83"/>
        <v>768.19999999999993</v>
      </c>
      <c r="I293" s="87">
        <f t="shared" si="75"/>
        <v>0.46157543712071136</v>
      </c>
      <c r="J293" s="19">
        <f t="shared" si="83"/>
        <v>1467.1</v>
      </c>
      <c r="K293" s="19">
        <f t="shared" si="83"/>
        <v>53.95999999999998</v>
      </c>
      <c r="L293" s="19">
        <f t="shared" si="83"/>
        <v>143.23999999999995</v>
      </c>
    </row>
    <row r="294" spans="1:12" ht="22.5" customHeight="1">
      <c r="A294" s="33" t="s">
        <v>12</v>
      </c>
      <c r="B294" s="19">
        <f t="shared" si="83"/>
        <v>44.65</v>
      </c>
      <c r="C294" s="19">
        <f t="shared" si="83"/>
        <v>0.96899999999999997</v>
      </c>
      <c r="D294" s="19">
        <f t="shared" si="83"/>
        <v>39.5</v>
      </c>
      <c r="E294" s="19">
        <f t="shared" si="83"/>
        <v>54.7</v>
      </c>
      <c r="F294" s="19">
        <f t="shared" si="83"/>
        <v>52.62</v>
      </c>
      <c r="G294" s="19">
        <f t="shared" si="83"/>
        <v>926.4</v>
      </c>
      <c r="H294" s="19">
        <f t="shared" si="83"/>
        <v>23</v>
      </c>
      <c r="I294" s="87">
        <f t="shared" si="75"/>
        <v>0.42047531992687381</v>
      </c>
      <c r="J294" s="19">
        <f t="shared" si="83"/>
        <v>49.1</v>
      </c>
      <c r="K294" s="19">
        <f t="shared" si="83"/>
        <v>2.08</v>
      </c>
      <c r="L294" s="19">
        <f t="shared" si="83"/>
        <v>3.5199999999999996</v>
      </c>
    </row>
    <row r="295" spans="1:12">
      <c r="A295" s="42"/>
      <c r="B295" s="21"/>
      <c r="C295" s="22"/>
      <c r="D295" s="21"/>
      <c r="E295" s="21"/>
      <c r="F295" s="21"/>
      <c r="G295" s="22"/>
      <c r="H295" s="21"/>
      <c r="I295" s="89"/>
      <c r="J295" s="21"/>
      <c r="K295" s="21"/>
      <c r="L295" s="21"/>
    </row>
    <row r="296" spans="1:12" ht="18" customHeight="1">
      <c r="A296" s="44" t="s">
        <v>87</v>
      </c>
      <c r="B296" s="77">
        <v>605.19000000000005</v>
      </c>
      <c r="C296" s="77"/>
      <c r="D296" s="45">
        <v>502.9</v>
      </c>
      <c r="E296" s="45">
        <f>SUM(E297:E299)</f>
        <v>619.79999999999995</v>
      </c>
      <c r="F296" s="45">
        <f t="shared" ref="F296:J296" si="84">SUM(F297:F299)</f>
        <v>587.53</v>
      </c>
      <c r="G296" s="45"/>
      <c r="H296" s="45">
        <f t="shared" si="84"/>
        <v>288.29999999999995</v>
      </c>
      <c r="I296" s="89">
        <f t="shared" si="75"/>
        <v>0.46515004840271051</v>
      </c>
      <c r="J296" s="45">
        <f t="shared" si="84"/>
        <v>544.79999999999995</v>
      </c>
      <c r="K296" s="24">
        <f>SUM(K297:K299)</f>
        <v>32.269999999999982</v>
      </c>
      <c r="L296" s="24">
        <f>SUM(L297:L299)</f>
        <v>42.730000000000004</v>
      </c>
    </row>
    <row r="297" spans="1:12">
      <c r="A297" s="46" t="s">
        <v>88</v>
      </c>
      <c r="B297" s="47">
        <v>112.11</v>
      </c>
      <c r="C297" s="47">
        <v>22.5</v>
      </c>
      <c r="D297" s="47">
        <v>112.4</v>
      </c>
      <c r="E297" s="47">
        <f>114.8+10.5</f>
        <v>125.3</v>
      </c>
      <c r="F297" s="47">
        <v>125.3</v>
      </c>
      <c r="G297" s="47">
        <v>12598</v>
      </c>
      <c r="H297" s="47">
        <v>63.8</v>
      </c>
      <c r="I297" s="90">
        <f t="shared" si="75"/>
        <v>0.50917797286512367</v>
      </c>
      <c r="J297" s="47">
        <v>119</v>
      </c>
      <c r="K297" s="49">
        <f t="shared" ref="K297:K298" si="85">E297-F297</f>
        <v>0</v>
      </c>
      <c r="L297" s="49">
        <f>F297-J297</f>
        <v>6.2999999999999972</v>
      </c>
    </row>
    <row r="298" spans="1:12">
      <c r="A298" s="48" t="s">
        <v>101</v>
      </c>
      <c r="B298" s="47">
        <v>477.12</v>
      </c>
      <c r="C298" s="47">
        <v>225.9</v>
      </c>
      <c r="D298" s="47">
        <v>381.5</v>
      </c>
      <c r="E298" s="47">
        <f>488.7-10.5</f>
        <v>478.2</v>
      </c>
      <c r="F298" s="47">
        <v>447.3</v>
      </c>
      <c r="G298" s="47">
        <v>145.26</v>
      </c>
      <c r="H298" s="47">
        <v>216.6</v>
      </c>
      <c r="I298" s="90">
        <f t="shared" si="75"/>
        <v>0.45294855708908405</v>
      </c>
      <c r="J298" s="47">
        <v>410.5</v>
      </c>
      <c r="K298" s="49">
        <f t="shared" si="85"/>
        <v>30.899999999999977</v>
      </c>
      <c r="L298" s="49">
        <f>F298-J298</f>
        <v>36.800000000000011</v>
      </c>
    </row>
    <row r="299" spans="1:12">
      <c r="A299" s="46" t="s">
        <v>90</v>
      </c>
      <c r="B299" s="47">
        <v>15.96</v>
      </c>
      <c r="C299" s="47">
        <v>0.218</v>
      </c>
      <c r="D299" s="47">
        <v>9</v>
      </c>
      <c r="E299" s="47">
        <v>16.3</v>
      </c>
      <c r="F299" s="47">
        <v>14.93</v>
      </c>
      <c r="G299" s="47">
        <v>186</v>
      </c>
      <c r="H299" s="47">
        <v>7.9</v>
      </c>
      <c r="I299" s="90">
        <f t="shared" si="75"/>
        <v>0.48466257668711654</v>
      </c>
      <c r="J299" s="47">
        <v>15.3</v>
      </c>
      <c r="K299" s="49">
        <f>E299-F299</f>
        <v>1.370000000000001</v>
      </c>
      <c r="L299" s="49">
        <f>F299-J299</f>
        <v>-0.37000000000000099</v>
      </c>
    </row>
    <row r="300" spans="1:12">
      <c r="A300" s="21"/>
      <c r="B300" s="49"/>
      <c r="C300" s="49"/>
      <c r="D300" s="49"/>
      <c r="E300" s="49"/>
      <c r="F300" s="49"/>
      <c r="G300" s="49"/>
      <c r="H300" s="49"/>
      <c r="I300" s="89"/>
      <c r="J300" s="49"/>
      <c r="K300" s="29"/>
      <c r="L300" s="29"/>
    </row>
    <row r="301" spans="1:12">
      <c r="A301" s="50" t="s">
        <v>91</v>
      </c>
      <c r="B301" s="51">
        <v>405.52000000000004</v>
      </c>
      <c r="C301" s="51"/>
      <c r="D301" s="51">
        <v>358.5</v>
      </c>
      <c r="E301" s="51">
        <f>SUM(E302:E304)</f>
        <v>415.40000000000003</v>
      </c>
      <c r="F301" s="51">
        <f>SUM(F302:F304)</f>
        <v>389.21</v>
      </c>
      <c r="G301" s="51"/>
      <c r="H301" s="51">
        <f t="shared" ref="H301:J301" si="86">SUM(H302:H304)</f>
        <v>175</v>
      </c>
      <c r="I301" s="89">
        <f t="shared" si="75"/>
        <v>0.42128069330765522</v>
      </c>
      <c r="J301" s="51">
        <f t="shared" si="86"/>
        <v>342</v>
      </c>
      <c r="K301" s="24">
        <f>K302+K303+K304</f>
        <v>26.189999999999998</v>
      </c>
      <c r="L301" s="24">
        <f>L302+L303+L304</f>
        <v>47.21</v>
      </c>
    </row>
    <row r="302" spans="1:12">
      <c r="A302" s="46" t="s">
        <v>88</v>
      </c>
      <c r="B302" s="47">
        <v>46.45</v>
      </c>
      <c r="C302" s="47">
        <v>10.9</v>
      </c>
      <c r="D302" s="47">
        <v>55.8</v>
      </c>
      <c r="E302" s="47">
        <v>47.6</v>
      </c>
      <c r="F302" s="47">
        <v>45.06</v>
      </c>
      <c r="G302" s="47">
        <v>3832</v>
      </c>
      <c r="H302" s="47">
        <v>26.6</v>
      </c>
      <c r="I302" s="90">
        <f t="shared" si="75"/>
        <v>0.55882352941176472</v>
      </c>
      <c r="J302" s="47">
        <v>50.6</v>
      </c>
      <c r="K302" s="27">
        <f t="shared" ref="K302:K303" si="87">E302-F302</f>
        <v>2.5399999999999991</v>
      </c>
      <c r="L302" s="27">
        <f>F302-J302</f>
        <v>-5.5399999999999991</v>
      </c>
    </row>
    <row r="303" spans="1:12">
      <c r="A303" s="46" t="s">
        <v>89</v>
      </c>
      <c r="B303" s="47">
        <v>347.1</v>
      </c>
      <c r="C303" s="47">
        <v>199.4</v>
      </c>
      <c r="D303" s="47">
        <v>297.3</v>
      </c>
      <c r="E303" s="47">
        <v>355.5</v>
      </c>
      <c r="F303" s="47">
        <v>332.5</v>
      </c>
      <c r="G303" s="47">
        <v>97.8</v>
      </c>
      <c r="H303" s="47">
        <v>145.80000000000001</v>
      </c>
      <c r="I303" s="90">
        <f t="shared" si="75"/>
        <v>0.41012658227848103</v>
      </c>
      <c r="J303" s="47">
        <v>283</v>
      </c>
      <c r="K303" s="27">
        <f t="shared" si="87"/>
        <v>23</v>
      </c>
      <c r="L303" s="27">
        <f>F303-J303</f>
        <v>49.5</v>
      </c>
    </row>
    <row r="304" spans="1:12">
      <c r="A304" s="46" t="s">
        <v>90</v>
      </c>
      <c r="B304" s="47">
        <v>11.97</v>
      </c>
      <c r="C304" s="47">
        <v>0.13400000000000001</v>
      </c>
      <c r="D304" s="47">
        <v>5.4</v>
      </c>
      <c r="E304" s="47">
        <v>12.3</v>
      </c>
      <c r="F304" s="47">
        <v>11.65</v>
      </c>
      <c r="G304" s="47">
        <v>440.8</v>
      </c>
      <c r="H304" s="47">
        <v>2.6</v>
      </c>
      <c r="I304" s="90">
        <f t="shared" si="75"/>
        <v>0.2113821138211382</v>
      </c>
      <c r="J304" s="47">
        <v>8.4</v>
      </c>
      <c r="K304" s="27">
        <f>E304-F304</f>
        <v>0.65000000000000036</v>
      </c>
      <c r="L304" s="27">
        <f>F304-J304</f>
        <v>3.25</v>
      </c>
    </row>
    <row r="305" spans="1:12">
      <c r="A305" s="52"/>
      <c r="B305" s="47"/>
      <c r="C305" s="47"/>
      <c r="D305" s="47"/>
      <c r="E305" s="47"/>
      <c r="F305" s="47"/>
      <c r="G305" s="47"/>
      <c r="H305" s="47"/>
      <c r="I305" s="89"/>
      <c r="J305" s="47"/>
      <c r="K305" s="29"/>
      <c r="L305" s="29"/>
    </row>
    <row r="306" spans="1:12">
      <c r="A306" s="50" t="s">
        <v>92</v>
      </c>
      <c r="B306" s="51">
        <v>582.31000000000006</v>
      </c>
      <c r="C306" s="51"/>
      <c r="D306" s="51">
        <v>589.69999999999993</v>
      </c>
      <c r="E306" s="51">
        <f>SUM(E307:E309)</f>
        <v>682.5</v>
      </c>
      <c r="F306" s="51">
        <f>SUM(F307:F309)</f>
        <v>617.46</v>
      </c>
      <c r="G306" s="51"/>
      <c r="H306" s="51">
        <f t="shared" ref="H306:J306" si="88">SUM(H307:H309)</f>
        <v>343.9</v>
      </c>
      <c r="I306" s="89">
        <f t="shared" si="75"/>
        <v>0.50388278388278385</v>
      </c>
      <c r="J306" s="51">
        <f t="shared" si="88"/>
        <v>608.5</v>
      </c>
      <c r="K306" s="24">
        <f>E306-F306</f>
        <v>65.039999999999964</v>
      </c>
      <c r="L306" s="24">
        <f>F306-J306</f>
        <v>8.9600000000000364</v>
      </c>
    </row>
    <row r="307" spans="1:12">
      <c r="A307" s="46" t="s">
        <v>88</v>
      </c>
      <c r="B307" s="47">
        <v>126.01</v>
      </c>
      <c r="C307" s="47">
        <v>27.8</v>
      </c>
      <c r="D307" s="47">
        <v>144.6</v>
      </c>
      <c r="E307" s="47">
        <f>129.1+77.1</f>
        <v>206.2</v>
      </c>
      <c r="F307" s="47">
        <v>141.22999999999999</v>
      </c>
      <c r="G307" s="47">
        <v>15612</v>
      </c>
      <c r="H307" s="47">
        <v>82</v>
      </c>
      <c r="I307" s="90">
        <f t="shared" si="75"/>
        <v>0.39767216294859364</v>
      </c>
      <c r="J307" s="47">
        <v>143.5</v>
      </c>
      <c r="K307" s="27">
        <f t="shared" ref="K307:K308" si="89">E307-F307</f>
        <v>64.97</v>
      </c>
      <c r="L307" s="49">
        <f>F307-J307</f>
        <v>-2.2700000000000102</v>
      </c>
    </row>
    <row r="308" spans="1:12">
      <c r="A308" s="46" t="s">
        <v>89</v>
      </c>
      <c r="B308" s="47">
        <v>448.34</v>
      </c>
      <c r="C308" s="47">
        <v>285.5</v>
      </c>
      <c r="D308" s="47">
        <v>425.7</v>
      </c>
      <c r="E308" s="47">
        <v>459.3</v>
      </c>
      <c r="F308" s="47">
        <v>459.27</v>
      </c>
      <c r="G308" s="47">
        <v>168.97</v>
      </c>
      <c r="H308" s="47">
        <v>251.7</v>
      </c>
      <c r="I308" s="90">
        <f t="shared" si="75"/>
        <v>0.5480078380143697</v>
      </c>
      <c r="J308" s="47">
        <v>446.5</v>
      </c>
      <c r="K308" s="27">
        <f t="shared" si="89"/>
        <v>3.0000000000029559E-2</v>
      </c>
      <c r="L308" s="49">
        <f>F308-J308</f>
        <v>12.769999999999982</v>
      </c>
    </row>
    <row r="309" spans="1:12">
      <c r="A309" s="46" t="s">
        <v>90</v>
      </c>
      <c r="B309" s="47">
        <v>7.96</v>
      </c>
      <c r="C309" s="47">
        <v>0.47699999999999998</v>
      </c>
      <c r="D309" s="47">
        <v>19.399999999999999</v>
      </c>
      <c r="E309" s="47">
        <v>17</v>
      </c>
      <c r="F309" s="47">
        <v>16.96</v>
      </c>
      <c r="G309" s="47">
        <v>244.6</v>
      </c>
      <c r="H309" s="47">
        <v>10.199999999999999</v>
      </c>
      <c r="I309" s="90">
        <f t="shared" si="75"/>
        <v>0.6</v>
      </c>
      <c r="J309" s="47">
        <v>18.5</v>
      </c>
      <c r="K309" s="27">
        <f>E309-F309</f>
        <v>3.9999999999999147E-2</v>
      </c>
      <c r="L309" s="49">
        <f>F309-J309</f>
        <v>-1.5399999999999991</v>
      </c>
    </row>
    <row r="310" spans="1:12">
      <c r="A310" s="52"/>
      <c r="B310" s="47"/>
      <c r="C310" s="47"/>
      <c r="D310" s="47"/>
      <c r="E310" s="47"/>
      <c r="F310" s="47"/>
      <c r="G310" s="47"/>
      <c r="H310" s="47"/>
      <c r="I310" s="89"/>
      <c r="J310" s="47"/>
      <c r="K310" s="29"/>
      <c r="L310" s="29"/>
    </row>
    <row r="311" spans="1:12">
      <c r="A311" s="50" t="s">
        <v>93</v>
      </c>
      <c r="B311" s="51">
        <v>452.65</v>
      </c>
      <c r="C311" s="51"/>
      <c r="D311" s="51">
        <v>378.7</v>
      </c>
      <c r="E311" s="51">
        <f>SUM(E312:E314)</f>
        <v>465.79999999999995</v>
      </c>
      <c r="F311" s="51">
        <f>SUM(F312:F314)</f>
        <v>465.74999999999994</v>
      </c>
      <c r="G311" s="51"/>
      <c r="H311" s="51">
        <f t="shared" ref="H311:J311" si="90">SUM(H312:H314)</f>
        <v>194.7</v>
      </c>
      <c r="I311" s="89">
        <f t="shared" si="75"/>
        <v>0.41799055388578793</v>
      </c>
      <c r="J311" s="51">
        <f t="shared" si="90"/>
        <v>414.5</v>
      </c>
      <c r="K311" s="24">
        <f>E311-F311</f>
        <v>5.0000000000011369E-2</v>
      </c>
      <c r="L311" s="24">
        <f>F311-J311</f>
        <v>51.249999999999943</v>
      </c>
    </row>
    <row r="312" spans="1:12">
      <c r="A312" s="46" t="s">
        <v>88</v>
      </c>
      <c r="B312" s="47">
        <v>59.81</v>
      </c>
      <c r="C312" s="47">
        <v>14.8</v>
      </c>
      <c r="D312" s="47">
        <v>79.099999999999994</v>
      </c>
      <c r="E312" s="47">
        <f>61.3+24.1</f>
        <v>85.4</v>
      </c>
      <c r="F312" s="47">
        <v>85.4</v>
      </c>
      <c r="G312" s="47">
        <v>7087</v>
      </c>
      <c r="H312" s="47">
        <v>38.299999999999997</v>
      </c>
      <c r="I312" s="90">
        <f t="shared" si="75"/>
        <v>0.44847775175644022</v>
      </c>
      <c r="J312" s="47">
        <v>80.5</v>
      </c>
      <c r="K312" s="27">
        <f t="shared" ref="K312:K313" si="91">E312-F312</f>
        <v>0</v>
      </c>
      <c r="L312" s="27">
        <f>F312-J312</f>
        <v>4.9000000000000057</v>
      </c>
    </row>
    <row r="313" spans="1:12">
      <c r="A313" s="46" t="s">
        <v>89</v>
      </c>
      <c r="B313" s="47">
        <v>384.08</v>
      </c>
      <c r="C313" s="47">
        <v>197.14</v>
      </c>
      <c r="D313" s="47">
        <v>293.89999999999998</v>
      </c>
      <c r="E313" s="47">
        <f>393.4-22.1</f>
        <v>371.29999999999995</v>
      </c>
      <c r="F313" s="47">
        <v>371.27</v>
      </c>
      <c r="G313" s="47">
        <v>103</v>
      </c>
      <c r="H313" s="47">
        <v>154.1</v>
      </c>
      <c r="I313" s="90">
        <f t="shared" si="75"/>
        <v>0.41502827901966066</v>
      </c>
      <c r="J313" s="47">
        <v>327.10000000000002</v>
      </c>
      <c r="K313" s="27">
        <f t="shared" si="91"/>
        <v>2.9999999999972715E-2</v>
      </c>
      <c r="L313" s="27">
        <f>F313-J313</f>
        <v>44.169999999999959</v>
      </c>
    </row>
    <row r="314" spans="1:12">
      <c r="A314" s="46" t="s">
        <v>90</v>
      </c>
      <c r="B314" s="47">
        <v>8.76</v>
      </c>
      <c r="C314" s="47">
        <v>0.14000000000000001</v>
      </c>
      <c r="D314" s="47">
        <v>5.7</v>
      </c>
      <c r="E314" s="47">
        <v>9.1</v>
      </c>
      <c r="F314" s="47">
        <v>9.08</v>
      </c>
      <c r="G314" s="47">
        <v>55</v>
      </c>
      <c r="H314" s="47">
        <v>2.2999999999999998</v>
      </c>
      <c r="I314" s="90">
        <f t="shared" si="75"/>
        <v>0.25274725274725274</v>
      </c>
      <c r="J314" s="47">
        <v>6.9</v>
      </c>
      <c r="K314" s="27">
        <f>E314-F314</f>
        <v>1.9999999999999574E-2</v>
      </c>
      <c r="L314" s="27">
        <f>F314-J314</f>
        <v>2.1799999999999997</v>
      </c>
    </row>
    <row r="315" spans="1:12">
      <c r="A315" s="46"/>
      <c r="B315" s="53"/>
      <c r="C315" s="53"/>
      <c r="D315" s="53"/>
      <c r="E315" s="53"/>
      <c r="F315" s="53"/>
      <c r="G315" s="53"/>
      <c r="H315" s="53"/>
      <c r="I315" s="89"/>
      <c r="J315" s="53"/>
      <c r="K315" s="53"/>
      <c r="L315" s="21"/>
    </row>
    <row r="316" spans="1:12" ht="27" customHeight="1">
      <c r="A316" s="43" t="s">
        <v>103</v>
      </c>
      <c r="B316" s="54">
        <f>B317+B318+B319</f>
        <v>16471.346999999998</v>
      </c>
      <c r="C316" s="54"/>
      <c r="D316" s="54">
        <f t="shared" ref="D316:J316" si="92">D317+D318+D319</f>
        <v>16031.000000000002</v>
      </c>
      <c r="E316" s="54">
        <f>E321+E326+E331+E336+E341</f>
        <v>17527.3</v>
      </c>
      <c r="F316" s="54">
        <f t="shared" si="92"/>
        <v>22851.079999999998</v>
      </c>
      <c r="G316" s="54"/>
      <c r="H316" s="54">
        <f t="shared" si="92"/>
        <v>10653.75</v>
      </c>
      <c r="I316" s="86">
        <f t="shared" si="75"/>
        <v>0.6078374878047389</v>
      </c>
      <c r="J316" s="54">
        <f t="shared" si="92"/>
        <v>17778.450000000004</v>
      </c>
      <c r="K316" s="54">
        <f>K321+K326+K331+K336+K341</f>
        <v>-5323.7800000000007</v>
      </c>
      <c r="L316" s="54">
        <f>L321+L326+L331+L336+L341</f>
        <v>5072.6299999999992</v>
      </c>
    </row>
    <row r="317" spans="1:12" ht="20.25" customHeight="1">
      <c r="A317" s="33" t="s">
        <v>10</v>
      </c>
      <c r="B317" s="55">
        <f>B322+B327+B332+B337+B342</f>
        <v>6776.027</v>
      </c>
      <c r="C317" s="55">
        <f t="shared" ref="C317:L317" si="93">C322+C327+C332+C337+C342</f>
        <v>125.8</v>
      </c>
      <c r="D317" s="55">
        <f t="shared" si="93"/>
        <v>7099</v>
      </c>
      <c r="E317" s="55">
        <f t="shared" si="93"/>
        <v>7119.2</v>
      </c>
      <c r="F317" s="55">
        <f t="shared" si="93"/>
        <v>8424.869999999999</v>
      </c>
      <c r="G317" s="55">
        <f t="shared" si="93"/>
        <v>92518.67</v>
      </c>
      <c r="H317" s="55">
        <f t="shared" si="93"/>
        <v>4251.7</v>
      </c>
      <c r="I317" s="87">
        <f t="shared" si="75"/>
        <v>0.59721597932351944</v>
      </c>
      <c r="J317" s="55">
        <f t="shared" si="93"/>
        <v>8417.2000000000007</v>
      </c>
      <c r="K317" s="55">
        <f t="shared" si="93"/>
        <v>-1305.67</v>
      </c>
      <c r="L317" s="55">
        <f t="shared" si="93"/>
        <v>7.6699999999992841</v>
      </c>
    </row>
    <row r="318" spans="1:12" ht="19.5" customHeight="1">
      <c r="A318" s="33" t="s">
        <v>11</v>
      </c>
      <c r="B318" s="55">
        <f t="shared" ref="B318:L319" si="94">B323+B328+B333+B338+B343</f>
        <v>9183.1299999999992</v>
      </c>
      <c r="C318" s="55">
        <f t="shared" si="94"/>
        <v>2088.6</v>
      </c>
      <c r="D318" s="55">
        <f t="shared" si="94"/>
        <v>8384.9000000000015</v>
      </c>
      <c r="E318" s="55">
        <f t="shared" si="94"/>
        <v>9865.5</v>
      </c>
      <c r="F318" s="55">
        <f t="shared" si="94"/>
        <v>13876.34</v>
      </c>
      <c r="G318" s="55">
        <f t="shared" si="94"/>
        <v>4101.7199999999993</v>
      </c>
      <c r="H318" s="55">
        <f t="shared" si="94"/>
        <v>6105.5</v>
      </c>
      <c r="I318" s="87">
        <f t="shared" si="75"/>
        <v>0.61887385332725153</v>
      </c>
      <c r="J318" s="55">
        <f t="shared" si="94"/>
        <v>8804.6</v>
      </c>
      <c r="K318" s="55">
        <f t="shared" si="94"/>
        <v>-4010.8400000000011</v>
      </c>
      <c r="L318" s="55">
        <f t="shared" si="94"/>
        <v>5071.7400000000007</v>
      </c>
    </row>
    <row r="319" spans="1:12" ht="21.75" customHeight="1">
      <c r="A319" s="33" t="s">
        <v>12</v>
      </c>
      <c r="B319" s="55">
        <f t="shared" si="94"/>
        <v>512.19000000000005</v>
      </c>
      <c r="C319" s="55">
        <f t="shared" si="94"/>
        <v>2.9759999999999995</v>
      </c>
      <c r="D319" s="55">
        <f t="shared" si="94"/>
        <v>547.1</v>
      </c>
      <c r="E319" s="55">
        <f t="shared" si="94"/>
        <v>542.6</v>
      </c>
      <c r="F319" s="55">
        <f t="shared" si="94"/>
        <v>549.87</v>
      </c>
      <c r="G319" s="55">
        <f t="shared" si="94"/>
        <v>767.6</v>
      </c>
      <c r="H319" s="55">
        <f t="shared" si="94"/>
        <v>296.54999999999995</v>
      </c>
      <c r="I319" s="87">
        <f t="shared" si="75"/>
        <v>0.54653520088462948</v>
      </c>
      <c r="J319" s="55">
        <f t="shared" si="94"/>
        <v>556.65</v>
      </c>
      <c r="K319" s="55">
        <f t="shared" si="94"/>
        <v>-7.2699999999999676</v>
      </c>
      <c r="L319" s="55">
        <f t="shared" si="94"/>
        <v>-6.7800000000000225</v>
      </c>
    </row>
    <row r="320" spans="1:12">
      <c r="A320" s="46"/>
      <c r="B320" s="53"/>
      <c r="C320" s="53"/>
      <c r="D320" s="53"/>
      <c r="E320" s="53"/>
      <c r="F320" s="53"/>
      <c r="G320" s="53"/>
      <c r="H320" s="53"/>
      <c r="I320" s="89"/>
      <c r="J320" s="53"/>
      <c r="K320" s="53"/>
      <c r="L320" s="21"/>
    </row>
    <row r="321" spans="1:12">
      <c r="A321" s="50" t="s">
        <v>94</v>
      </c>
      <c r="B321" s="51">
        <v>2383.9369999999999</v>
      </c>
      <c r="C321" s="51"/>
      <c r="D321" s="51">
        <v>1990</v>
      </c>
      <c r="E321" s="51">
        <v>2546.1999999999998</v>
      </c>
      <c r="F321" s="51">
        <v>2491.44</v>
      </c>
      <c r="G321" s="51"/>
      <c r="H321" s="51">
        <v>1123.8</v>
      </c>
      <c r="I321" s="89">
        <f t="shared" si="75"/>
        <v>0.44136360065980679</v>
      </c>
      <c r="J321" s="51">
        <v>2209.1</v>
      </c>
      <c r="K321" s="24">
        <f>E321-F321</f>
        <v>54.759999999999764</v>
      </c>
      <c r="L321" s="24">
        <f>F321-J321</f>
        <v>282.34000000000015</v>
      </c>
    </row>
    <row r="322" spans="1:12">
      <c r="A322" s="46" t="s">
        <v>88</v>
      </c>
      <c r="B322" s="47">
        <v>507.48700000000002</v>
      </c>
      <c r="C322" s="47">
        <v>83.5</v>
      </c>
      <c r="D322" s="47">
        <v>427.2</v>
      </c>
      <c r="E322" s="47">
        <f>519.8-60.8</f>
        <v>458.99999999999994</v>
      </c>
      <c r="F322" s="47">
        <v>458.62</v>
      </c>
      <c r="G322" s="47">
        <v>68521</v>
      </c>
      <c r="H322" s="47">
        <v>188.4</v>
      </c>
      <c r="I322" s="90">
        <f t="shared" si="75"/>
        <v>0.41045751633986932</v>
      </c>
      <c r="J322" s="47">
        <v>422.9</v>
      </c>
      <c r="K322" s="27">
        <f t="shared" ref="K322:K323" si="95">E322-F322</f>
        <v>0.37999999999993861</v>
      </c>
      <c r="L322" s="27">
        <f>F322-J322</f>
        <v>35.720000000000027</v>
      </c>
    </row>
    <row r="323" spans="1:12">
      <c r="A323" s="46" t="s">
        <v>89</v>
      </c>
      <c r="B323" s="47">
        <v>1854.49</v>
      </c>
      <c r="C323" s="47">
        <v>1031</v>
      </c>
      <c r="D323" s="47">
        <v>1536</v>
      </c>
      <c r="E323" s="47">
        <f>1899.6+60.8+83.4</f>
        <v>2043.8</v>
      </c>
      <c r="F323" s="47">
        <v>1989.46</v>
      </c>
      <c r="G323" s="47">
        <v>620.99</v>
      </c>
      <c r="H323" s="47">
        <v>926.1</v>
      </c>
      <c r="I323" s="90">
        <f t="shared" si="75"/>
        <v>0.45312652901458073</v>
      </c>
      <c r="J323" s="47">
        <v>1756</v>
      </c>
      <c r="K323" s="27">
        <f t="shared" si="95"/>
        <v>54.339999999999918</v>
      </c>
      <c r="L323" s="27">
        <f>F323-J323</f>
        <v>233.46000000000004</v>
      </c>
    </row>
    <row r="324" spans="1:12">
      <c r="A324" s="46" t="s">
        <v>90</v>
      </c>
      <c r="B324" s="47">
        <v>21.96</v>
      </c>
      <c r="C324" s="47">
        <v>0.68799999999999994</v>
      </c>
      <c r="D324" s="47">
        <v>26.8</v>
      </c>
      <c r="E324" s="47">
        <f>22.5+20.9</f>
        <v>43.4</v>
      </c>
      <c r="F324" s="47">
        <v>43.36</v>
      </c>
      <c r="G324" s="47">
        <v>247.4</v>
      </c>
      <c r="H324" s="47">
        <v>9.3000000000000007</v>
      </c>
      <c r="I324" s="90">
        <f t="shared" si="75"/>
        <v>0.2142857142857143</v>
      </c>
      <c r="J324" s="47">
        <v>30.2</v>
      </c>
      <c r="K324" s="27">
        <f>E324-F324</f>
        <v>3.9999999999999147E-2</v>
      </c>
      <c r="L324" s="27">
        <f>F324-J324</f>
        <v>13.16</v>
      </c>
    </row>
    <row r="325" spans="1:12">
      <c r="A325" s="52"/>
      <c r="B325" s="47"/>
      <c r="C325" s="47"/>
      <c r="D325" s="47"/>
      <c r="E325" s="47"/>
      <c r="F325" s="47"/>
      <c r="G325" s="47"/>
      <c r="H325" s="47"/>
      <c r="I325" s="90"/>
      <c r="J325" s="47"/>
      <c r="K325" s="21"/>
      <c r="L325" s="29"/>
    </row>
    <row r="326" spans="1:12">
      <c r="A326" s="50" t="s">
        <v>95</v>
      </c>
      <c r="B326" s="51">
        <v>1235.92</v>
      </c>
      <c r="C326" s="51"/>
      <c r="D326" s="51">
        <v>1182.7</v>
      </c>
      <c r="E326" s="51">
        <v>1817</v>
      </c>
      <c r="F326" s="51">
        <v>1637.27</v>
      </c>
      <c r="G326" s="51"/>
      <c r="H326" s="51">
        <v>805.5</v>
      </c>
      <c r="I326" s="89">
        <f t="shared" si="75"/>
        <v>0.44331315354980738</v>
      </c>
      <c r="J326" s="51">
        <v>1413.0000000000002</v>
      </c>
      <c r="K326" s="24">
        <f>E326-F326</f>
        <v>179.73000000000002</v>
      </c>
      <c r="L326" s="24">
        <f>F326-J326</f>
        <v>224.26999999999975</v>
      </c>
    </row>
    <row r="327" spans="1:12">
      <c r="A327" s="46" t="s">
        <v>88</v>
      </c>
      <c r="B327" s="47">
        <v>156</v>
      </c>
      <c r="C327" s="47">
        <v>24.3</v>
      </c>
      <c r="D327" s="47">
        <v>120.6</v>
      </c>
      <c r="E327" s="47">
        <f>159.8+90.3</f>
        <v>250.10000000000002</v>
      </c>
      <c r="F327" s="47">
        <v>180.07</v>
      </c>
      <c r="G327" s="47">
        <v>14366</v>
      </c>
      <c r="H327" s="47">
        <v>73.099999999999994</v>
      </c>
      <c r="I327" s="90">
        <f t="shared" si="75"/>
        <v>0.29228308676529385</v>
      </c>
      <c r="J327" s="47">
        <v>165.9</v>
      </c>
      <c r="K327" s="27">
        <f>E327-F327</f>
        <v>70.03000000000003</v>
      </c>
      <c r="L327" s="49">
        <f>F327-J327</f>
        <v>14.169999999999987</v>
      </c>
    </row>
    <row r="328" spans="1:12">
      <c r="A328" s="46" t="s">
        <v>89</v>
      </c>
      <c r="B328" s="47">
        <v>1062.6300000000001</v>
      </c>
      <c r="C328" s="47">
        <v>675.3</v>
      </c>
      <c r="D328" s="47">
        <v>1006.9</v>
      </c>
      <c r="E328" s="47">
        <f>1088.5+454</f>
        <v>1542.5</v>
      </c>
      <c r="F328" s="56">
        <v>1442.38</v>
      </c>
      <c r="G328" s="47">
        <v>479.4</v>
      </c>
      <c r="H328" s="47">
        <v>714.8</v>
      </c>
      <c r="I328" s="90">
        <f t="shared" si="75"/>
        <v>0.46340356564019447</v>
      </c>
      <c r="J328" s="47">
        <v>1228.2</v>
      </c>
      <c r="K328" s="27">
        <f>E328-F328</f>
        <v>100.11999999999989</v>
      </c>
      <c r="L328" s="49">
        <f>F328-J328</f>
        <v>214.18000000000006</v>
      </c>
    </row>
    <row r="329" spans="1:12">
      <c r="A329" s="46" t="s">
        <v>90</v>
      </c>
      <c r="B329" s="47">
        <v>17.29</v>
      </c>
      <c r="C329" s="47">
        <v>2</v>
      </c>
      <c r="D329" s="47">
        <v>55.2</v>
      </c>
      <c r="E329" s="47">
        <f>17.7+6.7</f>
        <v>24.4</v>
      </c>
      <c r="F329" s="47">
        <v>14.82</v>
      </c>
      <c r="G329" s="47">
        <v>414</v>
      </c>
      <c r="H329" s="47">
        <v>17.600000000000001</v>
      </c>
      <c r="I329" s="90">
        <f t="shared" si="75"/>
        <v>0.7213114754098362</v>
      </c>
      <c r="J329" s="47">
        <v>18.899999999999999</v>
      </c>
      <c r="K329" s="27">
        <f>E329-F329</f>
        <v>9.5799999999999983</v>
      </c>
      <c r="L329" s="49">
        <f>F329-J329</f>
        <v>-4.0799999999999983</v>
      </c>
    </row>
    <row r="330" spans="1:12">
      <c r="A330" s="52"/>
      <c r="B330" s="47"/>
      <c r="C330" s="47"/>
      <c r="D330" s="47"/>
      <c r="E330" s="47"/>
      <c r="F330" s="47"/>
      <c r="G330" s="47"/>
      <c r="H330" s="47"/>
      <c r="I330" s="89"/>
      <c r="J330" s="47"/>
      <c r="K330" s="21"/>
      <c r="L330" s="29"/>
    </row>
    <row r="331" spans="1:12">
      <c r="A331" s="50" t="s">
        <v>96</v>
      </c>
      <c r="B331" s="51">
        <v>492.33</v>
      </c>
      <c r="C331" s="51"/>
      <c r="D331" s="51">
        <v>494.9</v>
      </c>
      <c r="E331" s="51">
        <v>504.3</v>
      </c>
      <c r="F331" s="51">
        <v>457.23</v>
      </c>
      <c r="G331" s="51"/>
      <c r="H331" s="51">
        <v>270.2</v>
      </c>
      <c r="I331" s="89">
        <f t="shared" si="75"/>
        <v>0.53579218719016453</v>
      </c>
      <c r="J331" s="51">
        <v>468.6</v>
      </c>
      <c r="K331" s="24">
        <f>E331-F331</f>
        <v>47.069999999999993</v>
      </c>
      <c r="L331" s="24">
        <f>F331-J331</f>
        <v>-11.370000000000005</v>
      </c>
    </row>
    <row r="332" spans="1:12">
      <c r="A332" s="46" t="s">
        <v>88</v>
      </c>
      <c r="B332" s="47">
        <v>61.69</v>
      </c>
      <c r="C332" s="47">
        <v>11.2</v>
      </c>
      <c r="D332" s="47">
        <v>55.7</v>
      </c>
      <c r="E332" s="47">
        <v>63.4</v>
      </c>
      <c r="F332" s="47">
        <v>61.12</v>
      </c>
      <c r="G332" s="47">
        <v>5728</v>
      </c>
      <c r="H332" s="47">
        <v>28.8</v>
      </c>
      <c r="I332" s="90">
        <f t="shared" ref="I332:I394" si="96">H332/E332</f>
        <v>0.45425867507886436</v>
      </c>
      <c r="J332" s="47">
        <v>57.8</v>
      </c>
      <c r="K332" s="27">
        <f t="shared" ref="K332:K333" si="97">E332-F332</f>
        <v>2.2800000000000011</v>
      </c>
      <c r="L332" s="49">
        <f>F332-J332</f>
        <v>3.3200000000000003</v>
      </c>
    </row>
    <row r="333" spans="1:12">
      <c r="A333" s="46" t="s">
        <v>89</v>
      </c>
      <c r="B333" s="47">
        <v>422.25</v>
      </c>
      <c r="C333" s="47">
        <v>289.3</v>
      </c>
      <c r="D333" s="47">
        <v>431.4</v>
      </c>
      <c r="E333" s="47">
        <v>432.3</v>
      </c>
      <c r="F333" s="47">
        <v>387.66</v>
      </c>
      <c r="G333" s="47">
        <v>159</v>
      </c>
      <c r="H333" s="47">
        <v>237.6</v>
      </c>
      <c r="I333" s="90">
        <f t="shared" si="96"/>
        <v>0.54961832061068705</v>
      </c>
      <c r="J333" s="47">
        <v>402.8</v>
      </c>
      <c r="K333" s="27">
        <f t="shared" si="97"/>
        <v>44.639999999999986</v>
      </c>
      <c r="L333" s="49">
        <f>F333-J333</f>
        <v>-15.139999999999986</v>
      </c>
    </row>
    <row r="334" spans="1:12">
      <c r="A334" s="46" t="s">
        <v>90</v>
      </c>
      <c r="B334" s="47">
        <v>8.39</v>
      </c>
      <c r="C334" s="47">
        <v>0.20699999999999999</v>
      </c>
      <c r="D334" s="47">
        <v>7.8</v>
      </c>
      <c r="E334" s="47">
        <v>8.6</v>
      </c>
      <c r="F334" s="47">
        <v>8.4499999999999993</v>
      </c>
      <c r="G334" s="47">
        <v>89</v>
      </c>
      <c r="H334" s="47">
        <v>3.8</v>
      </c>
      <c r="I334" s="90">
        <f t="shared" si="96"/>
        <v>0.44186046511627908</v>
      </c>
      <c r="J334" s="47">
        <v>8</v>
      </c>
      <c r="K334" s="27">
        <f>E334-F334</f>
        <v>0.15000000000000036</v>
      </c>
      <c r="L334" s="49">
        <f>F334-J334</f>
        <v>0.44999999999999929</v>
      </c>
    </row>
    <row r="335" spans="1:12">
      <c r="A335" s="52"/>
      <c r="B335" s="47"/>
      <c r="C335" s="47"/>
      <c r="D335" s="47"/>
      <c r="E335" s="47"/>
      <c r="F335" s="47"/>
      <c r="G335" s="47"/>
      <c r="H335" s="47"/>
      <c r="I335" s="89"/>
      <c r="J335" s="47"/>
      <c r="K335" s="21"/>
      <c r="L335" s="29"/>
    </row>
    <row r="336" spans="1:12">
      <c r="A336" s="50" t="s">
        <v>97</v>
      </c>
      <c r="B336" s="51">
        <v>159.16</v>
      </c>
      <c r="C336" s="51"/>
      <c r="D336" s="51">
        <v>163.39999999999998</v>
      </c>
      <c r="E336" s="51">
        <v>163.1</v>
      </c>
      <c r="F336" s="51">
        <v>161.84</v>
      </c>
      <c r="G336" s="51"/>
      <c r="H336" s="51">
        <v>89.250000000000014</v>
      </c>
      <c r="I336" s="89">
        <f t="shared" si="96"/>
        <v>0.54721030042918462</v>
      </c>
      <c r="J336" s="51">
        <v>158.85</v>
      </c>
      <c r="K336" s="24">
        <f>E336-F336</f>
        <v>1.2599999999999909</v>
      </c>
      <c r="L336" s="24">
        <f>F336-J336</f>
        <v>2.9900000000000091</v>
      </c>
    </row>
    <row r="337" spans="1:12">
      <c r="A337" s="46" t="s">
        <v>88</v>
      </c>
      <c r="B337" s="47">
        <v>38.65</v>
      </c>
      <c r="C337" s="47">
        <v>6.8</v>
      </c>
      <c r="D337" s="47">
        <v>35.9</v>
      </c>
      <c r="E337" s="47">
        <f>39.6-1.8</f>
        <v>37.800000000000004</v>
      </c>
      <c r="F337" s="47">
        <v>36.659999999999997</v>
      </c>
      <c r="G337" s="47">
        <v>3200</v>
      </c>
      <c r="H337" s="47">
        <v>17.600000000000001</v>
      </c>
      <c r="I337" s="90">
        <f t="shared" si="96"/>
        <v>0.46560846560846558</v>
      </c>
      <c r="J337" s="47">
        <v>36</v>
      </c>
      <c r="K337" s="49">
        <f t="shared" ref="K337:K338" si="98">E337-F337</f>
        <v>1.1400000000000077</v>
      </c>
      <c r="L337" s="49">
        <f>F337-J337</f>
        <v>0.65999999999999659</v>
      </c>
    </row>
    <row r="338" spans="1:12">
      <c r="A338" s="46" t="s">
        <v>89</v>
      </c>
      <c r="B338" s="47">
        <v>116.56</v>
      </c>
      <c r="C338" s="47">
        <v>93</v>
      </c>
      <c r="D338" s="47">
        <v>123.8</v>
      </c>
      <c r="E338" s="47">
        <f>119.4+0.3</f>
        <v>119.7</v>
      </c>
      <c r="F338" s="47">
        <v>119.64</v>
      </c>
      <c r="G338" s="47">
        <v>55</v>
      </c>
      <c r="H338" s="47">
        <v>71.2</v>
      </c>
      <c r="I338" s="90">
        <f t="shared" si="96"/>
        <v>0.59482038429406847</v>
      </c>
      <c r="J338" s="47">
        <v>119.6</v>
      </c>
      <c r="K338" s="49">
        <f t="shared" si="98"/>
        <v>6.0000000000002274E-2</v>
      </c>
      <c r="L338" s="49">
        <f>F338-J338</f>
        <v>4.0000000000006253E-2</v>
      </c>
    </row>
    <row r="339" spans="1:12">
      <c r="A339" s="46" t="s">
        <v>90</v>
      </c>
      <c r="B339" s="47">
        <v>3.95</v>
      </c>
      <c r="C339" s="47">
        <v>8.1000000000000003E-2</v>
      </c>
      <c r="D339" s="47">
        <v>3.7</v>
      </c>
      <c r="E339" s="47">
        <f>4.1+1.5</f>
        <v>5.6</v>
      </c>
      <c r="F339" s="47">
        <v>5.54</v>
      </c>
      <c r="G339" s="47">
        <v>11</v>
      </c>
      <c r="H339" s="47">
        <v>0.45</v>
      </c>
      <c r="I339" s="90">
        <f t="shared" si="96"/>
        <v>8.0357142857142863E-2</v>
      </c>
      <c r="J339" s="47">
        <v>3.25</v>
      </c>
      <c r="K339" s="49">
        <f>E339-F339</f>
        <v>5.9999999999999609E-2</v>
      </c>
      <c r="L339" s="49">
        <f>F339-J339</f>
        <v>2.29</v>
      </c>
    </row>
    <row r="340" spans="1:12">
      <c r="A340" s="21"/>
      <c r="B340" s="29"/>
      <c r="C340" s="29"/>
      <c r="D340" s="29"/>
      <c r="E340" s="29"/>
      <c r="F340" s="29"/>
      <c r="G340" s="29"/>
      <c r="H340" s="29"/>
      <c r="I340" s="89"/>
      <c r="J340" s="29"/>
      <c r="K340" s="21"/>
      <c r="L340" s="29"/>
    </row>
    <row r="341" spans="1:12">
      <c r="A341" s="50" t="s">
        <v>98</v>
      </c>
      <c r="B341" s="51">
        <v>12200</v>
      </c>
      <c r="C341" s="51"/>
      <c r="D341" s="51">
        <v>12200.000000000002</v>
      </c>
      <c r="E341" s="51">
        <v>12496.699999999999</v>
      </c>
      <c r="F341" s="51">
        <v>18103.3</v>
      </c>
      <c r="G341" s="51"/>
      <c r="H341" s="51">
        <v>8365</v>
      </c>
      <c r="I341" s="89">
        <f t="shared" si="96"/>
        <v>0.66937671545287958</v>
      </c>
      <c r="J341" s="51">
        <v>13528.9</v>
      </c>
      <c r="K341" s="24">
        <f>E341-F341</f>
        <v>-5606.6</v>
      </c>
      <c r="L341" s="24">
        <f>F341-J341</f>
        <v>4574.3999999999996</v>
      </c>
    </row>
    <row r="342" spans="1:12">
      <c r="A342" s="48" t="s">
        <v>108</v>
      </c>
      <c r="B342" s="47">
        <v>6012.2</v>
      </c>
      <c r="C342" s="47"/>
      <c r="D342" s="47">
        <v>6459.6</v>
      </c>
      <c r="E342" s="47">
        <v>6308.9</v>
      </c>
      <c r="F342" s="47">
        <v>7688.4</v>
      </c>
      <c r="G342" s="47">
        <v>703.67</v>
      </c>
      <c r="H342" s="47">
        <v>3943.8</v>
      </c>
      <c r="I342" s="90">
        <f t="shared" si="96"/>
        <v>0.6251168983499501</v>
      </c>
      <c r="J342" s="47">
        <v>7734.6</v>
      </c>
      <c r="K342" s="29">
        <f t="shared" ref="K342:K343" si="99">E342-F342</f>
        <v>-1379.5</v>
      </c>
      <c r="L342" s="29">
        <f>F342-J342</f>
        <v>-46.200000000000728</v>
      </c>
    </row>
    <row r="343" spans="1:12">
      <c r="A343" s="48" t="s">
        <v>101</v>
      </c>
      <c r="B343" s="47">
        <v>5727.2</v>
      </c>
      <c r="C343" s="47"/>
      <c r="D343" s="47">
        <v>5286.8</v>
      </c>
      <c r="E343" s="47">
        <v>5727.2</v>
      </c>
      <c r="F343" s="47">
        <v>9937.2000000000007</v>
      </c>
      <c r="G343" s="47">
        <v>2787.33</v>
      </c>
      <c r="H343" s="47">
        <v>4155.8</v>
      </c>
      <c r="I343" s="90">
        <f t="shared" si="96"/>
        <v>0.72562508730269593</v>
      </c>
      <c r="J343" s="47">
        <v>5298</v>
      </c>
      <c r="K343" s="29">
        <f t="shared" si="99"/>
        <v>-4210.0000000000009</v>
      </c>
      <c r="L343" s="29">
        <f>F343-J343</f>
        <v>4639.2000000000007</v>
      </c>
    </row>
    <row r="344" spans="1:12">
      <c r="A344" s="48" t="s">
        <v>110</v>
      </c>
      <c r="B344" s="47">
        <v>460.6</v>
      </c>
      <c r="C344" s="47"/>
      <c r="D344" s="47">
        <v>453.6</v>
      </c>
      <c r="E344" s="47">
        <v>460.6</v>
      </c>
      <c r="F344" s="47">
        <v>477.7</v>
      </c>
      <c r="G344" s="47">
        <v>6.2</v>
      </c>
      <c r="H344" s="47">
        <v>265.39999999999998</v>
      </c>
      <c r="I344" s="90">
        <f t="shared" si="96"/>
        <v>0.57620495006513239</v>
      </c>
      <c r="J344" s="47">
        <v>496.3</v>
      </c>
      <c r="K344" s="29">
        <f>E344-F344</f>
        <v>-17.099999999999966</v>
      </c>
      <c r="L344" s="29">
        <f>F344-J344</f>
        <v>-18.600000000000023</v>
      </c>
    </row>
    <row r="345" spans="1:12">
      <c r="A345" s="21"/>
      <c r="B345" s="21"/>
      <c r="C345" s="57"/>
      <c r="D345" s="21"/>
      <c r="E345" s="21"/>
      <c r="F345" s="21"/>
      <c r="G345" s="22"/>
      <c r="H345" s="21"/>
      <c r="I345" s="89"/>
      <c r="J345" s="21"/>
      <c r="K345" s="21"/>
      <c r="L345" s="21"/>
    </row>
    <row r="346" spans="1:12" ht="30">
      <c r="A346" s="37" t="s">
        <v>104</v>
      </c>
      <c r="B346" s="38">
        <f>B291+B316</f>
        <v>18517.017</v>
      </c>
      <c r="C346" s="38"/>
      <c r="D346" s="38">
        <f t="shared" ref="D346:L346" si="100">D291+D316</f>
        <v>17860.800000000003</v>
      </c>
      <c r="E346" s="38">
        <f t="shared" si="100"/>
        <v>19710.8</v>
      </c>
      <c r="F346" s="38">
        <f t="shared" si="100"/>
        <v>24911.03</v>
      </c>
      <c r="G346" s="38"/>
      <c r="H346" s="38">
        <f t="shared" si="100"/>
        <v>11655.65</v>
      </c>
      <c r="I346" s="91">
        <f t="shared" si="96"/>
        <v>0.59133317775026895</v>
      </c>
      <c r="J346" s="38">
        <f t="shared" si="100"/>
        <v>19688.250000000004</v>
      </c>
      <c r="K346" s="38">
        <f t="shared" si="100"/>
        <v>-5200.2300000000005</v>
      </c>
      <c r="L346" s="38">
        <f t="shared" si="100"/>
        <v>5222.7799999999988</v>
      </c>
    </row>
    <row r="347" spans="1:12" ht="21" customHeight="1">
      <c r="A347" s="40" t="s">
        <v>10</v>
      </c>
      <c r="B347" s="38">
        <f t="shared" ref="B347:C347" si="101">B292+B317</f>
        <v>7120.4070000000002</v>
      </c>
      <c r="C347" s="38">
        <f t="shared" si="101"/>
        <v>201.8</v>
      </c>
      <c r="D347" s="38">
        <f>D292+D317</f>
        <v>7490.9</v>
      </c>
      <c r="E347" s="38">
        <f t="shared" ref="E347:H347" si="102">E292+E317</f>
        <v>7583.7</v>
      </c>
      <c r="F347" s="38">
        <f t="shared" si="102"/>
        <v>8821.8599999999988</v>
      </c>
      <c r="G347" s="38">
        <f t="shared" si="102"/>
        <v>131647.66999999998</v>
      </c>
      <c r="H347" s="38">
        <f t="shared" si="102"/>
        <v>4462.3999999999996</v>
      </c>
      <c r="I347" s="91">
        <f t="shared" si="96"/>
        <v>0.58841990057623583</v>
      </c>
      <c r="J347" s="38">
        <f>J292+J317</f>
        <v>8810.8000000000011</v>
      </c>
      <c r="K347" s="38">
        <f t="shared" ref="K347:L347" si="103">K292+K317</f>
        <v>-1238.1600000000001</v>
      </c>
      <c r="L347" s="38">
        <f t="shared" si="103"/>
        <v>11.059999999999278</v>
      </c>
    </row>
    <row r="348" spans="1:12" ht="23.25" customHeight="1">
      <c r="A348" s="40" t="s">
        <v>11</v>
      </c>
      <c r="B348" s="38">
        <f t="shared" ref="B348:L349" si="104">B293+B318</f>
        <v>10839.769999999999</v>
      </c>
      <c r="C348" s="38">
        <f t="shared" si="104"/>
        <v>2996.54</v>
      </c>
      <c r="D348" s="38">
        <f t="shared" si="104"/>
        <v>9783.3000000000011</v>
      </c>
      <c r="E348" s="38">
        <f t="shared" si="104"/>
        <v>11529.8</v>
      </c>
      <c r="F348" s="38">
        <f t="shared" si="104"/>
        <v>15486.68</v>
      </c>
      <c r="G348" s="38">
        <f t="shared" si="104"/>
        <v>4616.7499999999991</v>
      </c>
      <c r="H348" s="38">
        <f t="shared" si="104"/>
        <v>6873.7</v>
      </c>
      <c r="I348" s="91">
        <f t="shared" si="96"/>
        <v>0.59616819025481793</v>
      </c>
      <c r="J348" s="38">
        <f t="shared" si="104"/>
        <v>10271.700000000001</v>
      </c>
      <c r="K348" s="38">
        <f t="shared" si="104"/>
        <v>-3956.880000000001</v>
      </c>
      <c r="L348" s="38">
        <f t="shared" si="104"/>
        <v>5214.9800000000005</v>
      </c>
    </row>
    <row r="349" spans="1:12" ht="21" customHeight="1">
      <c r="A349" s="40" t="s">
        <v>12</v>
      </c>
      <c r="B349" s="38">
        <f t="shared" si="104"/>
        <v>556.84</v>
      </c>
      <c r="C349" s="38">
        <f t="shared" si="104"/>
        <v>3.9449999999999994</v>
      </c>
      <c r="D349" s="38">
        <f t="shared" si="104"/>
        <v>586.6</v>
      </c>
      <c r="E349" s="38">
        <f t="shared" si="104"/>
        <v>597.30000000000007</v>
      </c>
      <c r="F349" s="38">
        <f t="shared" si="104"/>
        <v>602.49</v>
      </c>
      <c r="G349" s="38">
        <f t="shared" si="104"/>
        <v>1694</v>
      </c>
      <c r="H349" s="38">
        <f t="shared" si="104"/>
        <v>319.54999999999995</v>
      </c>
      <c r="I349" s="91">
        <f t="shared" si="96"/>
        <v>0.53499079189686916</v>
      </c>
      <c r="J349" s="38">
        <f t="shared" si="104"/>
        <v>605.75</v>
      </c>
      <c r="K349" s="38">
        <f t="shared" si="104"/>
        <v>-5.1899999999999675</v>
      </c>
      <c r="L349" s="38">
        <f t="shared" si="104"/>
        <v>-3.2600000000000229</v>
      </c>
    </row>
    <row r="350" spans="1:12">
      <c r="A350" s="21"/>
      <c r="B350" s="21"/>
      <c r="C350" s="57"/>
      <c r="D350" s="21"/>
      <c r="E350" s="21"/>
      <c r="F350" s="21"/>
      <c r="G350" s="22"/>
      <c r="H350" s="21"/>
      <c r="I350" s="90"/>
      <c r="J350" s="21"/>
      <c r="K350" s="21"/>
      <c r="L350" s="21"/>
    </row>
    <row r="351" spans="1:12">
      <c r="A351" s="42" t="s">
        <v>105</v>
      </c>
      <c r="B351" s="21"/>
      <c r="C351" s="57"/>
      <c r="D351" s="21"/>
      <c r="E351" s="21"/>
      <c r="F351" s="21"/>
      <c r="G351" s="22"/>
      <c r="H351" s="21"/>
      <c r="I351" s="89"/>
      <c r="J351" s="21"/>
      <c r="K351" s="21"/>
      <c r="L351" s="21"/>
    </row>
    <row r="352" spans="1:12" ht="30">
      <c r="A352" s="59" t="s">
        <v>106</v>
      </c>
      <c r="B352" s="38">
        <f>B353+B354+B355</f>
        <v>963.15</v>
      </c>
      <c r="C352" s="38"/>
      <c r="D352" s="38">
        <f t="shared" ref="D352:L352" si="105">D353+D354+D355</f>
        <v>963.15</v>
      </c>
      <c r="E352" s="38">
        <f t="shared" si="105"/>
        <v>1058.2</v>
      </c>
      <c r="F352" s="38">
        <f t="shared" si="105"/>
        <v>963.15</v>
      </c>
      <c r="G352" s="38"/>
      <c r="H352" s="38">
        <f t="shared" si="105"/>
        <v>159.38</v>
      </c>
      <c r="I352" s="91">
        <f t="shared" si="96"/>
        <v>0.1506142506142506</v>
      </c>
      <c r="J352" s="38">
        <f t="shared" si="105"/>
        <v>963.15</v>
      </c>
      <c r="K352" s="38">
        <f t="shared" si="105"/>
        <v>95.050000000000068</v>
      </c>
      <c r="L352" s="38">
        <f t="shared" si="105"/>
        <v>0</v>
      </c>
    </row>
    <row r="353" spans="1:15" ht="21.75" customHeight="1">
      <c r="A353" s="40" t="s">
        <v>10</v>
      </c>
      <c r="B353" s="38">
        <v>492.57</v>
      </c>
      <c r="C353" s="38">
        <v>88</v>
      </c>
      <c r="D353" s="38">
        <v>492.57</v>
      </c>
      <c r="E353" s="38">
        <v>541.83000000000004</v>
      </c>
      <c r="F353" s="38">
        <v>492.57</v>
      </c>
      <c r="G353" s="38">
        <v>26</v>
      </c>
      <c r="H353" s="38">
        <v>130.11000000000001</v>
      </c>
      <c r="I353" s="91">
        <f t="shared" si="96"/>
        <v>0.24013066829079233</v>
      </c>
      <c r="J353" s="38">
        <v>492.57</v>
      </c>
      <c r="K353" s="38">
        <f t="shared" ref="K353:K354" si="106">E353-F353</f>
        <v>49.260000000000048</v>
      </c>
      <c r="L353" s="38">
        <f>F353-J353</f>
        <v>0</v>
      </c>
    </row>
    <row r="354" spans="1:15" ht="21" customHeight="1">
      <c r="A354" s="40" t="s">
        <v>11</v>
      </c>
      <c r="B354" s="38">
        <v>413</v>
      </c>
      <c r="C354" s="38">
        <v>277</v>
      </c>
      <c r="D354" s="38">
        <v>413</v>
      </c>
      <c r="E354" s="38">
        <v>454.3</v>
      </c>
      <c r="F354" s="38">
        <v>413</v>
      </c>
      <c r="G354" s="38">
        <v>7.8</v>
      </c>
      <c r="H354" s="38">
        <v>11.66</v>
      </c>
      <c r="I354" s="91">
        <f t="shared" si="96"/>
        <v>2.5665859564164648E-2</v>
      </c>
      <c r="J354" s="38">
        <v>413</v>
      </c>
      <c r="K354" s="38">
        <f t="shared" si="106"/>
        <v>41.300000000000011</v>
      </c>
      <c r="L354" s="38">
        <f>F354-J354</f>
        <v>0</v>
      </c>
    </row>
    <row r="355" spans="1:15" ht="21" customHeight="1">
      <c r="A355" s="40" t="s">
        <v>12</v>
      </c>
      <c r="B355" s="38">
        <v>57.58</v>
      </c>
      <c r="C355" s="38">
        <v>2.7</v>
      </c>
      <c r="D355" s="38">
        <v>57.58</v>
      </c>
      <c r="E355" s="38">
        <v>62.07</v>
      </c>
      <c r="F355" s="38">
        <v>57.58</v>
      </c>
      <c r="G355" s="38">
        <v>0.8</v>
      </c>
      <c r="H355" s="38">
        <v>17.61</v>
      </c>
      <c r="I355" s="91">
        <f t="shared" si="96"/>
        <v>0.28371193813436441</v>
      </c>
      <c r="J355" s="38">
        <v>57.58</v>
      </c>
      <c r="K355" s="38">
        <f>E355-F355</f>
        <v>4.490000000000002</v>
      </c>
      <c r="L355" s="38">
        <f>F355-J355</f>
        <v>0</v>
      </c>
      <c r="O355"/>
    </row>
    <row r="356" spans="1:15">
      <c r="A356" s="21"/>
      <c r="B356" s="21"/>
      <c r="C356" s="57"/>
      <c r="D356" s="21"/>
      <c r="E356" s="21"/>
      <c r="F356" s="21"/>
      <c r="G356" s="22"/>
      <c r="H356" s="21"/>
      <c r="I356" s="89"/>
      <c r="J356" s="21"/>
      <c r="K356" s="21"/>
      <c r="L356" s="21"/>
    </row>
    <row r="357" spans="1:15" ht="30">
      <c r="A357" s="78" t="s">
        <v>121</v>
      </c>
      <c r="B357" s="21"/>
      <c r="C357" s="57"/>
      <c r="D357" s="21"/>
      <c r="E357" s="21"/>
      <c r="F357" s="21"/>
      <c r="G357" s="22"/>
      <c r="H357" s="21"/>
      <c r="I357" s="89"/>
      <c r="J357" s="21"/>
      <c r="K357" s="21"/>
      <c r="L357" s="21"/>
    </row>
    <row r="358" spans="1:15">
      <c r="A358" s="79" t="s">
        <v>107</v>
      </c>
      <c r="B358" s="60">
        <f>B360+B361+B362</f>
        <v>697</v>
      </c>
      <c r="C358" s="60"/>
      <c r="D358" s="60">
        <f t="shared" ref="D358:L358" si="107">D360+D361+D362</f>
        <v>398</v>
      </c>
      <c r="E358" s="60">
        <f t="shared" si="107"/>
        <v>707</v>
      </c>
      <c r="F358" s="60">
        <f t="shared" si="107"/>
        <v>465</v>
      </c>
      <c r="G358" s="60"/>
      <c r="H358" s="60">
        <f t="shared" si="107"/>
        <v>256</v>
      </c>
      <c r="I358" s="86">
        <f t="shared" si="96"/>
        <v>0.36209335219236211</v>
      </c>
      <c r="J358" s="60">
        <f t="shared" si="107"/>
        <v>465</v>
      </c>
      <c r="K358" s="60">
        <f t="shared" si="107"/>
        <v>242</v>
      </c>
      <c r="L358" s="60">
        <f t="shared" si="107"/>
        <v>0</v>
      </c>
      <c r="M358" s="61"/>
      <c r="N358" s="58"/>
    </row>
    <row r="359" spans="1:15">
      <c r="A359" s="80" t="s">
        <v>9</v>
      </c>
      <c r="B359" s="62"/>
      <c r="C359" s="62"/>
      <c r="D359" s="62"/>
      <c r="E359" s="62"/>
      <c r="F359" s="62"/>
      <c r="G359" s="62"/>
      <c r="H359" s="62"/>
      <c r="I359" s="86"/>
      <c r="J359" s="62"/>
      <c r="K359" s="63"/>
      <c r="L359" s="63"/>
      <c r="M359" s="64"/>
      <c r="N359" s="58"/>
    </row>
    <row r="360" spans="1:15" ht="24" customHeight="1">
      <c r="A360" s="81" t="s">
        <v>108</v>
      </c>
      <c r="B360" s="62">
        <v>290</v>
      </c>
      <c r="C360" s="62">
        <v>33.1</v>
      </c>
      <c r="D360" s="62">
        <v>117</v>
      </c>
      <c r="E360" s="62">
        <v>232</v>
      </c>
      <c r="F360" s="62">
        <v>160</v>
      </c>
      <c r="G360" s="62">
        <v>15</v>
      </c>
      <c r="H360" s="62">
        <v>38</v>
      </c>
      <c r="I360" s="92">
        <f t="shared" si="96"/>
        <v>0.16379310344827586</v>
      </c>
      <c r="J360" s="62">
        <v>160</v>
      </c>
      <c r="K360" s="63">
        <f>E360-F360</f>
        <v>72</v>
      </c>
      <c r="L360" s="63">
        <f>F360-J360</f>
        <v>0</v>
      </c>
      <c r="M360" s="64"/>
      <c r="N360" s="58"/>
    </row>
    <row r="361" spans="1:15" ht="27" customHeight="1">
      <c r="A361" s="81" t="s">
        <v>101</v>
      </c>
      <c r="B361" s="62">
        <v>306</v>
      </c>
      <c r="C361" s="62">
        <v>130.80000000000001</v>
      </c>
      <c r="D361" s="62">
        <v>195</v>
      </c>
      <c r="E361" s="62">
        <v>335</v>
      </c>
      <c r="F361" s="62">
        <v>235</v>
      </c>
      <c r="G361" s="62">
        <v>125.6</v>
      </c>
      <c r="H361" s="62">
        <v>187</v>
      </c>
      <c r="I361" s="92">
        <f t="shared" si="96"/>
        <v>0.55820895522388059</v>
      </c>
      <c r="J361" s="62">
        <v>235</v>
      </c>
      <c r="K361" s="63">
        <f t="shared" ref="K361:K368" si="108">E361-F361</f>
        <v>100</v>
      </c>
      <c r="L361" s="63">
        <f>F361-J361</f>
        <v>0</v>
      </c>
      <c r="M361" s="64"/>
      <c r="N361" s="58"/>
    </row>
    <row r="362" spans="1:15" ht="26.25" customHeight="1">
      <c r="A362" s="81" t="s">
        <v>110</v>
      </c>
      <c r="B362" s="62">
        <v>101</v>
      </c>
      <c r="C362" s="62">
        <v>1.7</v>
      </c>
      <c r="D362" s="62">
        <v>86</v>
      </c>
      <c r="E362" s="62">
        <v>140</v>
      </c>
      <c r="F362" s="62">
        <v>70</v>
      </c>
      <c r="G362" s="62">
        <v>1.44</v>
      </c>
      <c r="H362" s="62">
        <v>31</v>
      </c>
      <c r="I362" s="92">
        <f t="shared" si="96"/>
        <v>0.22142857142857142</v>
      </c>
      <c r="J362" s="62">
        <v>70</v>
      </c>
      <c r="K362" s="63">
        <f t="shared" si="108"/>
        <v>70</v>
      </c>
      <c r="L362" s="63">
        <f>F362-J362</f>
        <v>0</v>
      </c>
      <c r="M362" s="64"/>
      <c r="N362" s="58"/>
    </row>
    <row r="363" spans="1:15">
      <c r="A363" s="82"/>
      <c r="B363" s="65"/>
      <c r="C363" s="65"/>
      <c r="D363" s="65"/>
      <c r="E363" s="65"/>
      <c r="F363" s="65"/>
      <c r="G363" s="65"/>
      <c r="H363" s="65"/>
      <c r="I363" s="89"/>
      <c r="J363" s="65"/>
      <c r="K363" s="49"/>
      <c r="L363" s="49"/>
      <c r="M363" s="64"/>
      <c r="N363" s="58"/>
    </row>
    <row r="364" spans="1:15">
      <c r="A364" s="79" t="s">
        <v>109</v>
      </c>
      <c r="B364" s="60">
        <f>B366+B367+B368</f>
        <v>1543</v>
      </c>
      <c r="C364" s="60"/>
      <c r="D364" s="60">
        <f>D366+D367+D368</f>
        <v>802.9</v>
      </c>
      <c r="E364" s="60">
        <v>1000</v>
      </c>
      <c r="F364" s="60">
        <f>F366+F367+F368</f>
        <v>1000</v>
      </c>
      <c r="G364" s="60"/>
      <c r="H364" s="60">
        <f>H366+H367+H368</f>
        <v>1000</v>
      </c>
      <c r="I364" s="86">
        <f t="shared" si="96"/>
        <v>1</v>
      </c>
      <c r="J364" s="60">
        <v>1000</v>
      </c>
      <c r="K364" s="66">
        <f>K366+K367+K368</f>
        <v>0</v>
      </c>
      <c r="L364" s="66">
        <f>F364-J364</f>
        <v>0</v>
      </c>
      <c r="M364" s="61"/>
      <c r="N364" s="58"/>
    </row>
    <row r="365" spans="1:15">
      <c r="A365" s="80" t="s">
        <v>9</v>
      </c>
      <c r="B365" s="62"/>
      <c r="C365" s="62"/>
      <c r="D365" s="62"/>
      <c r="E365" s="62"/>
      <c r="F365" s="62"/>
      <c r="G365" s="62"/>
      <c r="H365" s="62"/>
      <c r="I365" s="86"/>
      <c r="J365" s="62"/>
      <c r="K365" s="63"/>
      <c r="L365" s="63"/>
      <c r="M365" s="64"/>
      <c r="N365" s="58"/>
    </row>
    <row r="366" spans="1:15" ht="27" customHeight="1">
      <c r="A366" s="81" t="s">
        <v>108</v>
      </c>
      <c r="B366" s="62">
        <v>295</v>
      </c>
      <c r="C366" s="62">
        <v>17.13</v>
      </c>
      <c r="D366" s="62">
        <v>153.5</v>
      </c>
      <c r="E366" s="62">
        <v>342</v>
      </c>
      <c r="F366" s="62">
        <v>342</v>
      </c>
      <c r="G366" s="62">
        <v>62.79</v>
      </c>
      <c r="H366" s="62">
        <v>342</v>
      </c>
      <c r="I366" s="92">
        <f t="shared" si="96"/>
        <v>1</v>
      </c>
      <c r="J366" s="62">
        <v>342</v>
      </c>
      <c r="K366" s="63">
        <f t="shared" si="108"/>
        <v>0</v>
      </c>
      <c r="L366" s="63">
        <f>F366-J366</f>
        <v>0</v>
      </c>
      <c r="M366" s="64"/>
      <c r="N366" s="58"/>
    </row>
    <row r="367" spans="1:15" ht="27" customHeight="1">
      <c r="A367" s="81" t="s">
        <v>101</v>
      </c>
      <c r="B367" s="62">
        <v>1225.8</v>
      </c>
      <c r="C367" s="62">
        <v>427.76</v>
      </c>
      <c r="D367" s="62">
        <v>637.79999999999995</v>
      </c>
      <c r="E367" s="62">
        <v>657.3</v>
      </c>
      <c r="F367" s="62">
        <v>657.3</v>
      </c>
      <c r="G367" s="62">
        <v>440.9</v>
      </c>
      <c r="H367" s="62">
        <v>657.3</v>
      </c>
      <c r="I367" s="92">
        <f t="shared" si="96"/>
        <v>1</v>
      </c>
      <c r="J367" s="62">
        <v>657.3</v>
      </c>
      <c r="K367" s="63">
        <f t="shared" si="108"/>
        <v>0</v>
      </c>
      <c r="L367" s="63">
        <f>F367-J367</f>
        <v>0</v>
      </c>
      <c r="M367" s="64"/>
      <c r="N367" s="58"/>
    </row>
    <row r="368" spans="1:15" ht="25.5" customHeight="1">
      <c r="A368" s="81" t="s">
        <v>110</v>
      </c>
      <c r="B368" s="62">
        <v>22.2</v>
      </c>
      <c r="C368" s="62">
        <v>0.27</v>
      </c>
      <c r="D368" s="62">
        <v>11.6</v>
      </c>
      <c r="E368" s="62">
        <v>0.7</v>
      </c>
      <c r="F368" s="62">
        <v>0.7</v>
      </c>
      <c r="G368" s="62">
        <v>0.03</v>
      </c>
      <c r="H368" s="62">
        <v>0.7</v>
      </c>
      <c r="I368" s="92">
        <f t="shared" si="96"/>
        <v>1</v>
      </c>
      <c r="J368" s="62">
        <v>0.7</v>
      </c>
      <c r="K368" s="63">
        <f t="shared" si="108"/>
        <v>0</v>
      </c>
      <c r="L368" s="63">
        <f>F368-J368</f>
        <v>0</v>
      </c>
      <c r="M368" s="64"/>
      <c r="N368" s="58"/>
    </row>
    <row r="369" spans="1:12">
      <c r="A369" s="21"/>
      <c r="B369" s="21"/>
      <c r="C369" s="57"/>
      <c r="D369" s="21"/>
      <c r="E369" s="21"/>
      <c r="F369" s="21"/>
      <c r="G369" s="22"/>
      <c r="H369" s="21"/>
      <c r="I369" s="89"/>
      <c r="J369" s="21"/>
      <c r="K369" s="21"/>
      <c r="L369" s="21"/>
    </row>
    <row r="370" spans="1:12" ht="25.5" customHeight="1">
      <c r="A370" s="83" t="s">
        <v>111</v>
      </c>
      <c r="B370" s="38">
        <f>B371+B372+B373</f>
        <v>2240</v>
      </c>
      <c r="C370" s="38"/>
      <c r="D370" s="38">
        <f t="shared" ref="D370:L370" si="109">D371+D372+D373</f>
        <v>1200.8999999999999</v>
      </c>
      <c r="E370" s="38">
        <f t="shared" si="109"/>
        <v>1707</v>
      </c>
      <c r="F370" s="38">
        <f t="shared" si="109"/>
        <v>1465</v>
      </c>
      <c r="G370" s="38"/>
      <c r="H370" s="38">
        <f t="shared" si="109"/>
        <v>1256</v>
      </c>
      <c r="I370" s="91">
        <f t="shared" si="96"/>
        <v>0.73579379027533687</v>
      </c>
      <c r="J370" s="38">
        <f t="shared" si="109"/>
        <v>1465</v>
      </c>
      <c r="K370" s="38">
        <f t="shared" si="109"/>
        <v>242</v>
      </c>
      <c r="L370" s="38">
        <f t="shared" si="109"/>
        <v>0</v>
      </c>
    </row>
    <row r="371" spans="1:12" ht="21" customHeight="1">
      <c r="A371" s="40" t="s">
        <v>10</v>
      </c>
      <c r="B371" s="38">
        <f>B360+B366</f>
        <v>585</v>
      </c>
      <c r="C371" s="38">
        <f t="shared" ref="C371:L371" si="110">C360+C366</f>
        <v>50.230000000000004</v>
      </c>
      <c r="D371" s="38">
        <f t="shared" si="110"/>
        <v>270.5</v>
      </c>
      <c r="E371" s="38">
        <f t="shared" si="110"/>
        <v>574</v>
      </c>
      <c r="F371" s="38">
        <f t="shared" si="110"/>
        <v>502</v>
      </c>
      <c r="G371" s="38">
        <f t="shared" si="110"/>
        <v>77.789999999999992</v>
      </c>
      <c r="H371" s="38">
        <f t="shared" si="110"/>
        <v>380</v>
      </c>
      <c r="I371" s="91">
        <f t="shared" si="96"/>
        <v>0.66202090592334495</v>
      </c>
      <c r="J371" s="38">
        <f t="shared" si="110"/>
        <v>502</v>
      </c>
      <c r="K371" s="38">
        <f t="shared" si="110"/>
        <v>72</v>
      </c>
      <c r="L371" s="38">
        <f t="shared" si="110"/>
        <v>0</v>
      </c>
    </row>
    <row r="372" spans="1:12" ht="21.75" customHeight="1">
      <c r="A372" s="40" t="s">
        <v>11</v>
      </c>
      <c r="B372" s="38">
        <f t="shared" ref="B372:L373" si="111">B361+B367</f>
        <v>1531.8</v>
      </c>
      <c r="C372" s="38">
        <f t="shared" si="111"/>
        <v>558.55999999999995</v>
      </c>
      <c r="D372" s="38">
        <f t="shared" si="111"/>
        <v>832.8</v>
      </c>
      <c r="E372" s="38">
        <f t="shared" si="111"/>
        <v>992.3</v>
      </c>
      <c r="F372" s="38">
        <f t="shared" si="111"/>
        <v>892.3</v>
      </c>
      <c r="G372" s="38">
        <f t="shared" si="111"/>
        <v>566.5</v>
      </c>
      <c r="H372" s="38">
        <f t="shared" si="111"/>
        <v>844.3</v>
      </c>
      <c r="I372" s="91">
        <f t="shared" si="96"/>
        <v>0.85085155698881387</v>
      </c>
      <c r="J372" s="38">
        <f t="shared" si="111"/>
        <v>892.3</v>
      </c>
      <c r="K372" s="38">
        <f t="shared" si="111"/>
        <v>100</v>
      </c>
      <c r="L372" s="38">
        <f t="shared" si="111"/>
        <v>0</v>
      </c>
    </row>
    <row r="373" spans="1:12" ht="21.75" customHeight="1">
      <c r="A373" s="40" t="s">
        <v>12</v>
      </c>
      <c r="B373" s="38">
        <f t="shared" si="111"/>
        <v>123.2</v>
      </c>
      <c r="C373" s="38">
        <f t="shared" si="111"/>
        <v>1.97</v>
      </c>
      <c r="D373" s="38">
        <f t="shared" si="111"/>
        <v>97.6</v>
      </c>
      <c r="E373" s="38">
        <f t="shared" si="111"/>
        <v>140.69999999999999</v>
      </c>
      <c r="F373" s="38">
        <f t="shared" si="111"/>
        <v>70.7</v>
      </c>
      <c r="G373" s="38">
        <f t="shared" si="111"/>
        <v>1.47</v>
      </c>
      <c r="H373" s="38">
        <f t="shared" si="111"/>
        <v>31.7</v>
      </c>
      <c r="I373" s="91">
        <f t="shared" si="96"/>
        <v>0.22530206112295667</v>
      </c>
      <c r="J373" s="38">
        <f t="shared" si="111"/>
        <v>70.7</v>
      </c>
      <c r="K373" s="38">
        <f t="shared" si="111"/>
        <v>70</v>
      </c>
      <c r="L373" s="38">
        <f t="shared" si="111"/>
        <v>0</v>
      </c>
    </row>
    <row r="374" spans="1:12">
      <c r="A374" s="21"/>
      <c r="B374" s="21"/>
      <c r="C374" s="57"/>
      <c r="D374" s="21"/>
      <c r="E374" s="21"/>
      <c r="F374" s="21"/>
      <c r="G374" s="22"/>
      <c r="H374" s="21"/>
      <c r="I374" s="89"/>
      <c r="J374" s="21"/>
      <c r="K374" s="21"/>
      <c r="L374" s="21"/>
    </row>
    <row r="375" spans="1:12">
      <c r="A375" s="42" t="s">
        <v>112</v>
      </c>
      <c r="B375" s="21"/>
      <c r="C375" s="57"/>
      <c r="D375" s="21"/>
      <c r="E375" s="21"/>
      <c r="F375" s="21"/>
      <c r="G375" s="22"/>
      <c r="H375" s="21"/>
      <c r="I375" s="89"/>
      <c r="J375" s="21"/>
      <c r="K375" s="21"/>
      <c r="L375" s="21"/>
    </row>
    <row r="376" spans="1:12" s="2" customFormat="1" ht="23.25" customHeight="1">
      <c r="A376" s="67" t="s">
        <v>113</v>
      </c>
      <c r="B376" s="68">
        <f>SUM(B377:B379)</f>
        <v>68.429999999999993</v>
      </c>
      <c r="C376" s="68"/>
      <c r="D376" s="68">
        <f t="shared" ref="D376:L376" si="112">SUM(D377:D379)</f>
        <v>61.33</v>
      </c>
      <c r="E376" s="68">
        <f t="shared" si="112"/>
        <v>67</v>
      </c>
      <c r="F376" s="68">
        <f t="shared" si="112"/>
        <v>65.100000000000009</v>
      </c>
      <c r="G376" s="68"/>
      <c r="H376" s="68">
        <f t="shared" si="112"/>
        <v>31.599999999999998</v>
      </c>
      <c r="I376" s="89">
        <f t="shared" si="96"/>
        <v>0.4716417910447761</v>
      </c>
      <c r="J376" s="68">
        <f t="shared" si="112"/>
        <v>65.100000000000009</v>
      </c>
      <c r="K376" s="68">
        <f t="shared" si="112"/>
        <v>1.8999999999999986</v>
      </c>
      <c r="L376" s="68">
        <f t="shared" si="112"/>
        <v>0</v>
      </c>
    </row>
    <row r="377" spans="1:12" s="2" customFormat="1" ht="27" customHeight="1">
      <c r="A377" s="70" t="s">
        <v>108</v>
      </c>
      <c r="B377" s="71">
        <v>22.7</v>
      </c>
      <c r="C377" s="71">
        <v>2.7</v>
      </c>
      <c r="D377" s="71">
        <v>14.7</v>
      </c>
      <c r="E377" s="71">
        <v>19</v>
      </c>
      <c r="F377" s="71">
        <v>18.600000000000001</v>
      </c>
      <c r="G377" s="71">
        <v>0.95</v>
      </c>
      <c r="H377" s="71">
        <v>5.2</v>
      </c>
      <c r="I377" s="90">
        <f t="shared" si="96"/>
        <v>0.27368421052631581</v>
      </c>
      <c r="J377" s="71">
        <v>18.600000000000001</v>
      </c>
      <c r="K377" s="69">
        <f>E377-F377</f>
        <v>0.39999999999999858</v>
      </c>
      <c r="L377" s="69">
        <f>F377-J377</f>
        <v>0</v>
      </c>
    </row>
    <row r="378" spans="1:12" s="2" customFormat="1" ht="27" customHeight="1">
      <c r="A378" s="70" t="s">
        <v>101</v>
      </c>
      <c r="B378" s="71">
        <v>44.73</v>
      </c>
      <c r="C378" s="71">
        <v>30.6</v>
      </c>
      <c r="D378" s="71">
        <v>45.6</v>
      </c>
      <c r="E378" s="71">
        <v>46.7</v>
      </c>
      <c r="F378" s="71">
        <v>45.2</v>
      </c>
      <c r="G378" s="71">
        <v>17.3</v>
      </c>
      <c r="H378" s="71">
        <v>25.5</v>
      </c>
      <c r="I378" s="90">
        <f t="shared" si="96"/>
        <v>0.54603854389721629</v>
      </c>
      <c r="J378" s="71">
        <v>45.2</v>
      </c>
      <c r="K378" s="69">
        <f t="shared" ref="K378:K379" si="113">E378-F378</f>
        <v>1.5</v>
      </c>
      <c r="L378" s="69">
        <f>F378-J378</f>
        <v>0</v>
      </c>
    </row>
    <row r="379" spans="1:12" s="2" customFormat="1" ht="23.25" customHeight="1">
      <c r="A379" s="70" t="s">
        <v>110</v>
      </c>
      <c r="B379" s="71">
        <v>1</v>
      </c>
      <c r="C379" s="71">
        <v>0.06</v>
      </c>
      <c r="D379" s="71">
        <v>1.03</v>
      </c>
      <c r="E379" s="71">
        <v>1.3</v>
      </c>
      <c r="F379" s="71">
        <v>1.3</v>
      </c>
      <c r="G379" s="71">
        <v>0.04</v>
      </c>
      <c r="H379" s="71">
        <v>0.9</v>
      </c>
      <c r="I379" s="90">
        <f t="shared" si="96"/>
        <v>0.69230769230769229</v>
      </c>
      <c r="J379" s="71">
        <v>1.3</v>
      </c>
      <c r="K379" s="69">
        <f t="shared" si="113"/>
        <v>0</v>
      </c>
      <c r="L379" s="69">
        <f>F379-J379</f>
        <v>0</v>
      </c>
    </row>
    <row r="380" spans="1:12" s="2" customFormat="1">
      <c r="A380" s="72"/>
      <c r="B380" s="71"/>
      <c r="C380" s="71"/>
      <c r="D380" s="71"/>
      <c r="E380" s="71"/>
      <c r="F380" s="71"/>
      <c r="G380" s="71"/>
      <c r="H380" s="71"/>
      <c r="I380" s="89"/>
      <c r="J380" s="71"/>
      <c r="K380" s="69"/>
      <c r="L380" s="69"/>
    </row>
    <row r="381" spans="1:12" s="2" customFormat="1" ht="25.5" customHeight="1">
      <c r="A381" s="72" t="s">
        <v>114</v>
      </c>
      <c r="B381" s="68">
        <f>SUM(B382:B384)</f>
        <v>9571.89</v>
      </c>
      <c r="C381" s="68"/>
      <c r="D381" s="68">
        <f t="shared" ref="D381:L381" si="114">SUM(D382:D384)</f>
        <v>8816.1</v>
      </c>
      <c r="E381" s="68">
        <f t="shared" si="114"/>
        <v>10651</v>
      </c>
      <c r="F381" s="68">
        <f t="shared" si="114"/>
        <v>10647</v>
      </c>
      <c r="G381" s="68"/>
      <c r="H381" s="68">
        <f t="shared" si="114"/>
        <v>5209.2</v>
      </c>
      <c r="I381" s="89">
        <f t="shared" si="96"/>
        <v>0.48908083748004882</v>
      </c>
      <c r="J381" s="68">
        <f t="shared" si="114"/>
        <v>9868.3999999999978</v>
      </c>
      <c r="K381" s="68">
        <f t="shared" si="114"/>
        <v>4.000000000000739</v>
      </c>
      <c r="L381" s="68">
        <f t="shared" si="114"/>
        <v>778.5999999999998</v>
      </c>
    </row>
    <row r="382" spans="1:12" s="2" customFormat="1" ht="26.25" customHeight="1">
      <c r="A382" s="70" t="s">
        <v>108</v>
      </c>
      <c r="B382" s="71">
        <v>5314.02</v>
      </c>
      <c r="C382" s="71">
        <v>889.9</v>
      </c>
      <c r="D382" s="71">
        <v>4476.5</v>
      </c>
      <c r="E382" s="71">
        <v>4952</v>
      </c>
      <c r="F382" s="71">
        <v>4950.8999999999996</v>
      </c>
      <c r="G382" s="71">
        <v>416.4</v>
      </c>
      <c r="H382" s="71">
        <v>2580.5</v>
      </c>
      <c r="I382" s="90">
        <f t="shared" si="96"/>
        <v>0.52110258481421645</v>
      </c>
      <c r="J382" s="71">
        <v>4938.3999999999996</v>
      </c>
      <c r="K382" s="69">
        <f t="shared" ref="K382:K383" si="115">E382-F382</f>
        <v>1.1000000000003638</v>
      </c>
      <c r="L382" s="69">
        <f>F382-J382</f>
        <v>12.5</v>
      </c>
    </row>
    <row r="383" spans="1:12" s="2" customFormat="1" ht="23.25" customHeight="1">
      <c r="A383" s="70" t="s">
        <v>101</v>
      </c>
      <c r="B383" s="71">
        <v>3988.4</v>
      </c>
      <c r="C383" s="71">
        <v>2730.3</v>
      </c>
      <c r="D383" s="71">
        <v>4071.4</v>
      </c>
      <c r="E383" s="71">
        <v>5384</v>
      </c>
      <c r="F383" s="71">
        <v>5382.4</v>
      </c>
      <c r="G383" s="71">
        <v>1647.54</v>
      </c>
      <c r="H383" s="71">
        <v>2456.4</v>
      </c>
      <c r="I383" s="90">
        <f t="shared" si="96"/>
        <v>0.45624071322436854</v>
      </c>
      <c r="J383" s="71">
        <v>4623.2</v>
      </c>
      <c r="K383" s="69">
        <f t="shared" si="115"/>
        <v>1.6000000000003638</v>
      </c>
      <c r="L383" s="69">
        <f>F383-J383</f>
        <v>759.19999999999982</v>
      </c>
    </row>
    <row r="384" spans="1:12" s="2" customFormat="1" ht="25.5" customHeight="1">
      <c r="A384" s="70" t="s">
        <v>110</v>
      </c>
      <c r="B384" s="71">
        <v>269.47000000000003</v>
      </c>
      <c r="C384" s="71">
        <v>12.3</v>
      </c>
      <c r="D384" s="71">
        <v>268.2</v>
      </c>
      <c r="E384" s="71">
        <v>315</v>
      </c>
      <c r="F384" s="71">
        <v>313.7</v>
      </c>
      <c r="G384" s="71">
        <v>8.1</v>
      </c>
      <c r="H384" s="71">
        <v>172.3</v>
      </c>
      <c r="I384" s="90">
        <f t="shared" si="96"/>
        <v>0.54698412698412702</v>
      </c>
      <c r="J384" s="71">
        <v>306.8</v>
      </c>
      <c r="K384" s="69">
        <f>E384-F384</f>
        <v>1.3000000000000114</v>
      </c>
      <c r="L384" s="69">
        <f>F384-J384</f>
        <v>6.8999999999999773</v>
      </c>
    </row>
    <row r="385" spans="1:12" s="2" customFormat="1">
      <c r="A385" s="72"/>
      <c r="B385" s="71"/>
      <c r="C385" s="71"/>
      <c r="D385" s="71"/>
      <c r="E385" s="71"/>
      <c r="F385" s="71"/>
      <c r="G385" s="71"/>
      <c r="H385" s="71"/>
      <c r="I385" s="89"/>
      <c r="J385" s="71"/>
      <c r="K385" s="69"/>
      <c r="L385" s="69"/>
    </row>
    <row r="386" spans="1:12" s="2" customFormat="1" ht="28.5" customHeight="1">
      <c r="A386" s="72" t="s">
        <v>115</v>
      </c>
      <c r="B386" s="68">
        <f>SUM(B387:B389)</f>
        <v>1563.21</v>
      </c>
      <c r="C386" s="68"/>
      <c r="D386" s="68">
        <f t="shared" ref="D386:L386" si="116">SUM(D387:D389)</f>
        <v>1655.9</v>
      </c>
      <c r="E386" s="68">
        <f t="shared" si="116"/>
        <v>2335.5</v>
      </c>
      <c r="F386" s="68">
        <f t="shared" si="116"/>
        <v>2335.5</v>
      </c>
      <c r="G386" s="68"/>
      <c r="H386" s="68">
        <f t="shared" si="116"/>
        <v>882.8</v>
      </c>
      <c r="I386" s="89">
        <f t="shared" si="96"/>
        <v>0.37799186469706697</v>
      </c>
      <c r="J386" s="68">
        <f t="shared" si="116"/>
        <v>2335.5</v>
      </c>
      <c r="K386" s="68">
        <f t="shared" si="116"/>
        <v>0</v>
      </c>
      <c r="L386" s="68">
        <f t="shared" si="116"/>
        <v>0</v>
      </c>
    </row>
    <row r="387" spans="1:12" s="2" customFormat="1" ht="27" customHeight="1">
      <c r="A387" s="70" t="s">
        <v>108</v>
      </c>
      <c r="B387" s="71">
        <v>829.35</v>
      </c>
      <c r="C387" s="71">
        <v>173</v>
      </c>
      <c r="D387" s="71">
        <v>759</v>
      </c>
      <c r="E387" s="71">
        <v>1098.7</v>
      </c>
      <c r="F387" s="71">
        <v>1098.7</v>
      </c>
      <c r="G387" s="71">
        <v>89.8</v>
      </c>
      <c r="H387" s="71">
        <v>440</v>
      </c>
      <c r="I387" s="90">
        <f t="shared" si="96"/>
        <v>0.40047328661144987</v>
      </c>
      <c r="J387" s="71">
        <v>1098.7</v>
      </c>
      <c r="K387" s="69">
        <f t="shared" ref="K387:K388" si="117">E387-F387</f>
        <v>0</v>
      </c>
      <c r="L387" s="69">
        <f>F387-J387</f>
        <v>0</v>
      </c>
    </row>
    <row r="388" spans="1:12" s="2" customFormat="1" ht="27" customHeight="1">
      <c r="A388" s="70" t="s">
        <v>101</v>
      </c>
      <c r="B388" s="71">
        <v>635.16</v>
      </c>
      <c r="C388" s="71">
        <v>515.20000000000005</v>
      </c>
      <c r="D388" s="71">
        <v>768.2</v>
      </c>
      <c r="E388" s="71">
        <v>1069</v>
      </c>
      <c r="F388" s="71">
        <v>1069</v>
      </c>
      <c r="G388" s="71">
        <v>254.5</v>
      </c>
      <c r="H388" s="71">
        <v>379.4</v>
      </c>
      <c r="I388" s="90">
        <f t="shared" si="96"/>
        <v>0.354911131898971</v>
      </c>
      <c r="J388" s="71">
        <v>1069</v>
      </c>
      <c r="K388" s="69">
        <f t="shared" si="117"/>
        <v>0</v>
      </c>
      <c r="L388" s="69">
        <f>F388-J388</f>
        <v>0</v>
      </c>
    </row>
    <row r="389" spans="1:12" s="2" customFormat="1" ht="25.5" customHeight="1">
      <c r="A389" s="70" t="s">
        <v>110</v>
      </c>
      <c r="B389" s="71">
        <v>98.7</v>
      </c>
      <c r="C389" s="71">
        <v>6.6</v>
      </c>
      <c r="D389" s="71">
        <v>128.69999999999999</v>
      </c>
      <c r="E389" s="71">
        <v>167.8</v>
      </c>
      <c r="F389" s="71">
        <v>167.8</v>
      </c>
      <c r="G389" s="71">
        <v>3</v>
      </c>
      <c r="H389" s="71">
        <v>63.4</v>
      </c>
      <c r="I389" s="90">
        <f t="shared" si="96"/>
        <v>0.37783075089392132</v>
      </c>
      <c r="J389" s="71">
        <v>167.8</v>
      </c>
      <c r="K389" s="69">
        <f>E389-F389</f>
        <v>0</v>
      </c>
      <c r="L389" s="69">
        <f>F389-J389</f>
        <v>0</v>
      </c>
    </row>
    <row r="390" spans="1:12" s="2" customFormat="1">
      <c r="A390" s="72"/>
      <c r="B390" s="71"/>
      <c r="C390" s="71"/>
      <c r="D390" s="71"/>
      <c r="E390" s="71"/>
      <c r="F390" s="71"/>
      <c r="G390" s="71"/>
      <c r="H390" s="71"/>
      <c r="I390" s="89"/>
      <c r="J390" s="71"/>
      <c r="K390" s="69"/>
      <c r="L390" s="69"/>
    </row>
    <row r="391" spans="1:12" s="2" customFormat="1" ht="30.75" customHeight="1">
      <c r="A391" s="72" t="s">
        <v>116</v>
      </c>
      <c r="B391" s="68">
        <f>SUM(B392:B394)</f>
        <v>0</v>
      </c>
      <c r="C391" s="68"/>
      <c r="D391" s="68">
        <f t="shared" ref="D391:L391" si="118">SUM(D392:D394)</f>
        <v>124</v>
      </c>
      <c r="E391" s="68">
        <f t="shared" si="118"/>
        <v>127.10000000000001</v>
      </c>
      <c r="F391" s="68">
        <f t="shared" si="118"/>
        <v>127.10000000000001</v>
      </c>
      <c r="G391" s="68"/>
      <c r="H391" s="68">
        <f t="shared" si="118"/>
        <v>46.5</v>
      </c>
      <c r="I391" s="89">
        <f t="shared" si="96"/>
        <v>0.36585365853658536</v>
      </c>
      <c r="J391" s="68">
        <f t="shared" si="118"/>
        <v>127.10000000000001</v>
      </c>
      <c r="K391" s="68">
        <f t="shared" si="118"/>
        <v>0</v>
      </c>
      <c r="L391" s="68">
        <f t="shared" si="118"/>
        <v>0</v>
      </c>
    </row>
    <row r="392" spans="1:12" s="2" customFormat="1" ht="27" customHeight="1">
      <c r="A392" s="70" t="s">
        <v>108</v>
      </c>
      <c r="B392" s="71"/>
      <c r="C392" s="71">
        <v>479.45</v>
      </c>
      <c r="D392" s="71">
        <v>36.869999999999997</v>
      </c>
      <c r="E392" s="71">
        <v>37.229999999999997</v>
      </c>
      <c r="F392" s="71">
        <v>37.229999999999997</v>
      </c>
      <c r="G392" s="71">
        <v>239.7</v>
      </c>
      <c r="H392" s="71">
        <v>18.600000000000001</v>
      </c>
      <c r="I392" s="90">
        <f t="shared" si="96"/>
        <v>0.4995970991136181</v>
      </c>
      <c r="J392" s="71">
        <v>37.229999999999997</v>
      </c>
      <c r="K392" s="69">
        <f t="shared" ref="K392:K393" si="119">E392-F392</f>
        <v>0</v>
      </c>
      <c r="L392" s="69">
        <f>F392-J392</f>
        <v>0</v>
      </c>
    </row>
    <row r="393" spans="1:12" s="2" customFormat="1" ht="26.25" customHeight="1">
      <c r="A393" s="70" t="s">
        <v>101</v>
      </c>
      <c r="B393" s="71"/>
      <c r="C393" s="71">
        <v>107.9</v>
      </c>
      <c r="D393" s="71">
        <v>85.51</v>
      </c>
      <c r="E393" s="71">
        <v>88.17</v>
      </c>
      <c r="F393" s="71">
        <v>88.17</v>
      </c>
      <c r="G393" s="71">
        <v>28.8</v>
      </c>
      <c r="H393" s="71">
        <v>27.1</v>
      </c>
      <c r="I393" s="90">
        <f t="shared" si="96"/>
        <v>0.3073607803107633</v>
      </c>
      <c r="J393" s="71">
        <v>88.17</v>
      </c>
      <c r="K393" s="69">
        <f t="shared" si="119"/>
        <v>0</v>
      </c>
      <c r="L393" s="69">
        <f>F393-J393</f>
        <v>0</v>
      </c>
    </row>
    <row r="394" spans="1:12" s="2" customFormat="1" ht="24" customHeight="1">
      <c r="A394" s="70" t="s">
        <v>110</v>
      </c>
      <c r="B394" s="71"/>
      <c r="C394" s="71">
        <v>36</v>
      </c>
      <c r="D394" s="71">
        <v>1.62</v>
      </c>
      <c r="E394" s="71">
        <v>1.7</v>
      </c>
      <c r="F394" s="71">
        <v>1.7</v>
      </c>
      <c r="G394" s="71">
        <v>18</v>
      </c>
      <c r="H394" s="71">
        <v>0.8</v>
      </c>
      <c r="I394" s="90">
        <f t="shared" si="96"/>
        <v>0.4705882352941177</v>
      </c>
      <c r="J394" s="71">
        <v>1.7</v>
      </c>
      <c r="K394" s="69">
        <f>E394-F394</f>
        <v>0</v>
      </c>
      <c r="L394" s="69">
        <f>F394-J394</f>
        <v>0</v>
      </c>
    </row>
    <row r="395" spans="1:12" s="2" customFormat="1">
      <c r="A395" s="72"/>
      <c r="B395" s="71"/>
      <c r="C395" s="71"/>
      <c r="D395" s="71"/>
      <c r="E395" s="71"/>
      <c r="F395" s="71"/>
      <c r="G395" s="71"/>
      <c r="H395" s="71"/>
      <c r="I395" s="89"/>
      <c r="J395" s="71"/>
      <c r="K395" s="69"/>
      <c r="L395" s="69"/>
    </row>
    <row r="396" spans="1:12" s="2" customFormat="1" ht="30.75" customHeight="1">
      <c r="A396" s="72" t="s">
        <v>117</v>
      </c>
      <c r="B396" s="68">
        <f>SUM(B397:B399)</f>
        <v>555.01</v>
      </c>
      <c r="C396" s="68"/>
      <c r="D396" s="68">
        <f t="shared" ref="D396:L396" si="120">SUM(D397:D399)</f>
        <v>417.7</v>
      </c>
      <c r="E396" s="68">
        <f t="shared" si="120"/>
        <v>637.1</v>
      </c>
      <c r="F396" s="68">
        <f t="shared" si="120"/>
        <v>442.6</v>
      </c>
      <c r="G396" s="68"/>
      <c r="H396" s="68">
        <f t="shared" si="120"/>
        <v>202.6</v>
      </c>
      <c r="I396" s="89">
        <f t="shared" ref="I396:I419" si="121">H396/E396</f>
        <v>0.31800345314707268</v>
      </c>
      <c r="J396" s="68">
        <f t="shared" si="120"/>
        <v>442.6</v>
      </c>
      <c r="K396" s="68">
        <f t="shared" si="120"/>
        <v>194.5</v>
      </c>
      <c r="L396" s="68">
        <f t="shared" si="120"/>
        <v>0</v>
      </c>
    </row>
    <row r="397" spans="1:12" s="2" customFormat="1" ht="25.5" customHeight="1">
      <c r="A397" s="70" t="s">
        <v>108</v>
      </c>
      <c r="B397" s="71">
        <v>218.4</v>
      </c>
      <c r="C397" s="71">
        <v>31.3</v>
      </c>
      <c r="D397" s="71">
        <v>165.4</v>
      </c>
      <c r="E397" s="71">
        <v>291.60000000000002</v>
      </c>
      <c r="F397" s="71">
        <f>224.3+4</f>
        <v>228.3</v>
      </c>
      <c r="G397" s="71">
        <v>15.5</v>
      </c>
      <c r="H397" s="71">
        <v>85</v>
      </c>
      <c r="I397" s="90">
        <f t="shared" si="121"/>
        <v>0.29149519890260628</v>
      </c>
      <c r="J397" s="71">
        <f>F397</f>
        <v>228.3</v>
      </c>
      <c r="K397" s="69">
        <f t="shared" ref="K397:K398" si="122">E397-F397</f>
        <v>63.300000000000011</v>
      </c>
      <c r="L397" s="69">
        <f>F397-J397</f>
        <v>0</v>
      </c>
    </row>
    <row r="398" spans="1:12" s="2" customFormat="1" ht="26.25" customHeight="1">
      <c r="A398" s="70" t="s">
        <v>101</v>
      </c>
      <c r="B398" s="71">
        <v>321.01</v>
      </c>
      <c r="C398" s="71">
        <v>164.6</v>
      </c>
      <c r="D398" s="71">
        <v>245.4</v>
      </c>
      <c r="E398" s="71">
        <v>335.5</v>
      </c>
      <c r="F398" s="71">
        <v>204.3</v>
      </c>
      <c r="G398" s="71">
        <v>76.2</v>
      </c>
      <c r="H398" s="71">
        <f>112.6+1</f>
        <v>113.6</v>
      </c>
      <c r="I398" s="90">
        <f t="shared" si="121"/>
        <v>0.33859910581222052</v>
      </c>
      <c r="J398" s="71">
        <f>F398</f>
        <v>204.3</v>
      </c>
      <c r="K398" s="69">
        <f t="shared" si="122"/>
        <v>131.19999999999999</v>
      </c>
      <c r="L398" s="69">
        <f>F398-J398</f>
        <v>0</v>
      </c>
    </row>
    <row r="399" spans="1:12" s="2" customFormat="1" ht="25.5" customHeight="1">
      <c r="A399" s="70" t="s">
        <v>110</v>
      </c>
      <c r="B399" s="71">
        <v>15.6</v>
      </c>
      <c r="C399" s="71">
        <v>0.17</v>
      </c>
      <c r="D399" s="71">
        <v>6.9</v>
      </c>
      <c r="E399" s="71">
        <v>10</v>
      </c>
      <c r="F399" s="71">
        <v>10</v>
      </c>
      <c r="G399" s="71">
        <v>0.1</v>
      </c>
      <c r="H399" s="71">
        <v>4</v>
      </c>
      <c r="I399" s="90">
        <f t="shared" si="121"/>
        <v>0.4</v>
      </c>
      <c r="J399" s="71">
        <f>F399</f>
        <v>10</v>
      </c>
      <c r="K399" s="69">
        <f>E399-F399</f>
        <v>0</v>
      </c>
      <c r="L399" s="69">
        <f>F399-J399</f>
        <v>0</v>
      </c>
    </row>
    <row r="400" spans="1:12" s="2" customFormat="1">
      <c r="A400" s="72"/>
      <c r="B400" s="71"/>
      <c r="C400" s="71"/>
      <c r="D400" s="71"/>
      <c r="E400" s="71"/>
      <c r="F400" s="71"/>
      <c r="G400" s="71"/>
      <c r="H400" s="71"/>
      <c r="I400" s="89"/>
      <c r="J400" s="71"/>
      <c r="K400" s="69"/>
      <c r="L400" s="69"/>
    </row>
    <row r="401" spans="1:12" s="2" customFormat="1" ht="25.5" customHeight="1">
      <c r="A401" s="72" t="s">
        <v>118</v>
      </c>
      <c r="B401" s="68">
        <f>SUM(B402:B404)</f>
        <v>576.78</v>
      </c>
      <c r="C401" s="68"/>
      <c r="D401" s="68">
        <f t="shared" ref="D401:L401" si="123">SUM(D402:D404)</f>
        <v>429.59999999999997</v>
      </c>
      <c r="E401" s="68">
        <f t="shared" si="123"/>
        <v>708</v>
      </c>
      <c r="F401" s="68">
        <f t="shared" si="123"/>
        <v>708</v>
      </c>
      <c r="G401" s="68"/>
      <c r="H401" s="68">
        <f t="shared" si="123"/>
        <v>270.39999999999998</v>
      </c>
      <c r="I401" s="89">
        <f t="shared" si="121"/>
        <v>0.38192090395480222</v>
      </c>
      <c r="J401" s="68">
        <f t="shared" si="123"/>
        <v>708</v>
      </c>
      <c r="K401" s="68">
        <f t="shared" si="123"/>
        <v>0</v>
      </c>
      <c r="L401" s="68">
        <f t="shared" si="123"/>
        <v>0</v>
      </c>
    </row>
    <row r="402" spans="1:12" s="2" customFormat="1" ht="27" customHeight="1">
      <c r="A402" s="70" t="s">
        <v>108</v>
      </c>
      <c r="B402" s="71">
        <v>354.02</v>
      </c>
      <c r="C402" s="71">
        <v>42.7</v>
      </c>
      <c r="D402" s="71">
        <v>199.8</v>
      </c>
      <c r="E402" s="71">
        <v>435.3</v>
      </c>
      <c r="F402" s="71">
        <v>435.3</v>
      </c>
      <c r="G402" s="71">
        <v>26.6</v>
      </c>
      <c r="H402" s="71">
        <v>137.69999999999999</v>
      </c>
      <c r="I402" s="90">
        <f t="shared" si="121"/>
        <v>0.31633356305995863</v>
      </c>
      <c r="J402" s="71">
        <v>435.3</v>
      </c>
      <c r="K402" s="69">
        <f t="shared" ref="K402:K403" si="124">E402-F402</f>
        <v>0</v>
      </c>
      <c r="L402" s="69">
        <f>F402-J402</f>
        <v>0</v>
      </c>
    </row>
    <row r="403" spans="1:12" s="2" customFormat="1" ht="25.5" customHeight="1">
      <c r="A403" s="70" t="s">
        <v>101</v>
      </c>
      <c r="B403" s="71">
        <v>219.25</v>
      </c>
      <c r="C403" s="71">
        <v>151.6</v>
      </c>
      <c r="D403" s="71">
        <v>226.1</v>
      </c>
      <c r="E403" s="71">
        <v>262.3</v>
      </c>
      <c r="F403" s="71">
        <v>262.3</v>
      </c>
      <c r="G403" s="71">
        <v>87.4</v>
      </c>
      <c r="H403" s="71">
        <v>130.19999999999999</v>
      </c>
      <c r="I403" s="90">
        <f t="shared" si="121"/>
        <v>0.49637819290888291</v>
      </c>
      <c r="J403" s="71">
        <v>262.3</v>
      </c>
      <c r="K403" s="69">
        <f t="shared" si="124"/>
        <v>0</v>
      </c>
      <c r="L403" s="69">
        <f>F403-J403</f>
        <v>0</v>
      </c>
    </row>
    <row r="404" spans="1:12" s="2" customFormat="1" ht="26.25" customHeight="1">
      <c r="A404" s="70" t="s">
        <v>110</v>
      </c>
      <c r="B404" s="71">
        <v>3.51</v>
      </c>
      <c r="C404" s="71">
        <v>342</v>
      </c>
      <c r="D404" s="71">
        <v>3.7</v>
      </c>
      <c r="E404" s="71">
        <v>10.4</v>
      </c>
      <c r="F404" s="71">
        <v>10.4</v>
      </c>
      <c r="G404" s="71">
        <v>117</v>
      </c>
      <c r="H404" s="71">
        <v>2.5</v>
      </c>
      <c r="I404" s="90">
        <f t="shared" si="121"/>
        <v>0.24038461538461536</v>
      </c>
      <c r="J404" s="71">
        <v>10.4</v>
      </c>
      <c r="K404" s="69">
        <f>E404-F404</f>
        <v>0</v>
      </c>
      <c r="L404" s="69">
        <f>F404-J404</f>
        <v>0</v>
      </c>
    </row>
    <row r="405" spans="1:12" s="2" customFormat="1">
      <c r="A405" s="72"/>
      <c r="B405" s="71"/>
      <c r="C405" s="71"/>
      <c r="D405" s="71"/>
      <c r="E405" s="71"/>
      <c r="F405" s="71"/>
      <c r="G405" s="71"/>
      <c r="H405" s="71"/>
      <c r="I405" s="89"/>
      <c r="J405" s="71"/>
      <c r="K405" s="69"/>
      <c r="L405" s="69"/>
    </row>
    <row r="406" spans="1:12" s="2" customFormat="1" ht="25.5" customHeight="1">
      <c r="A406" s="72" t="s">
        <v>119</v>
      </c>
      <c r="B406" s="68">
        <f>SUM(B407:B409)</f>
        <v>80.660000000000011</v>
      </c>
      <c r="C406" s="68"/>
      <c r="D406" s="68">
        <f t="shared" ref="D406:L406" si="125">SUM(D407:D409)</f>
        <v>39.9</v>
      </c>
      <c r="E406" s="68">
        <f t="shared" si="125"/>
        <v>39.799999999999997</v>
      </c>
      <c r="F406" s="68">
        <f t="shared" si="125"/>
        <v>39.799999999999997</v>
      </c>
      <c r="G406" s="68"/>
      <c r="H406" s="68">
        <f t="shared" si="125"/>
        <v>5.7</v>
      </c>
      <c r="I406" s="89">
        <f t="shared" si="121"/>
        <v>0.14321608040201006</v>
      </c>
      <c r="J406" s="68">
        <f t="shared" si="125"/>
        <v>39.799999999999997</v>
      </c>
      <c r="K406" s="68">
        <f t="shared" si="125"/>
        <v>0</v>
      </c>
      <c r="L406" s="68">
        <f t="shared" si="125"/>
        <v>0</v>
      </c>
    </row>
    <row r="407" spans="1:12" s="2" customFormat="1" ht="27.75" customHeight="1">
      <c r="A407" s="70" t="s">
        <v>108</v>
      </c>
      <c r="B407" s="71">
        <v>52.63</v>
      </c>
      <c r="C407" s="71">
        <v>7.3</v>
      </c>
      <c r="D407" s="71">
        <v>39.9</v>
      </c>
      <c r="E407" s="71">
        <v>39.799999999999997</v>
      </c>
      <c r="F407" s="71">
        <v>39.799999999999997</v>
      </c>
      <c r="G407" s="71">
        <v>3.2</v>
      </c>
      <c r="H407" s="71">
        <v>5.7</v>
      </c>
      <c r="I407" s="90">
        <f t="shared" si="121"/>
        <v>0.14321608040201006</v>
      </c>
      <c r="J407" s="71">
        <v>39.799999999999997</v>
      </c>
      <c r="K407" s="69">
        <f>E407-F407</f>
        <v>0</v>
      </c>
      <c r="L407" s="69">
        <f>F407-J407</f>
        <v>0</v>
      </c>
    </row>
    <row r="408" spans="1:12" s="2" customFormat="1" ht="27" customHeight="1">
      <c r="A408" s="70" t="s">
        <v>101</v>
      </c>
      <c r="B408" s="71">
        <v>26.24</v>
      </c>
      <c r="C408" s="71"/>
      <c r="D408" s="71"/>
      <c r="E408" s="71"/>
      <c r="F408" s="71"/>
      <c r="G408" s="71"/>
      <c r="H408" s="71"/>
      <c r="I408" s="89"/>
      <c r="J408" s="71"/>
      <c r="K408" s="69"/>
      <c r="L408" s="69"/>
    </row>
    <row r="409" spans="1:12" s="2" customFormat="1" ht="24" customHeight="1">
      <c r="A409" s="70" t="s">
        <v>110</v>
      </c>
      <c r="B409" s="71">
        <v>1.79</v>
      </c>
      <c r="C409" s="71"/>
      <c r="D409" s="71"/>
      <c r="E409" s="71"/>
      <c r="F409" s="71"/>
      <c r="G409" s="71"/>
      <c r="H409" s="71"/>
      <c r="I409" s="89"/>
      <c r="J409" s="71"/>
      <c r="K409" s="69"/>
      <c r="L409" s="69"/>
    </row>
    <row r="410" spans="1:12">
      <c r="A410" s="21"/>
      <c r="B410" s="57"/>
      <c r="C410" s="21"/>
      <c r="D410" s="21"/>
      <c r="E410" s="21"/>
      <c r="F410" s="22"/>
      <c r="G410" s="21"/>
      <c r="H410" s="21"/>
      <c r="I410" s="89"/>
      <c r="J410" s="21"/>
      <c r="K410" s="21"/>
      <c r="L410" s="21"/>
    </row>
    <row r="411" spans="1:12" ht="30">
      <c r="A411" s="59" t="s">
        <v>120</v>
      </c>
      <c r="B411" s="74">
        <f>B412+B413+B414</f>
        <v>12415.98</v>
      </c>
      <c r="C411" s="74"/>
      <c r="D411" s="74">
        <f t="shared" ref="D411:L411" si="126">D412+D413+D414</f>
        <v>11544.53</v>
      </c>
      <c r="E411" s="74">
        <f t="shared" si="126"/>
        <v>14565.5</v>
      </c>
      <c r="F411" s="74">
        <f t="shared" si="126"/>
        <v>14365.1</v>
      </c>
      <c r="G411" s="74"/>
      <c r="H411" s="74">
        <f t="shared" si="126"/>
        <v>6648.7999999999993</v>
      </c>
      <c r="I411" s="93">
        <f t="shared" si="121"/>
        <v>0.45647591912395724</v>
      </c>
      <c r="J411" s="74">
        <f t="shared" si="126"/>
        <v>13586.5</v>
      </c>
      <c r="K411" s="74">
        <f t="shared" si="126"/>
        <v>200.40000000000074</v>
      </c>
      <c r="L411" s="74">
        <f t="shared" si="126"/>
        <v>778.5999999999998</v>
      </c>
    </row>
    <row r="412" spans="1:12" ht="25.5" customHeight="1">
      <c r="A412" s="40" t="s">
        <v>10</v>
      </c>
      <c r="B412" s="74">
        <f t="shared" ref="B412:L413" si="127">B407+B402+B397+B392+B387+B382+B377</f>
        <v>6791.12</v>
      </c>
      <c r="C412" s="74">
        <f t="shared" si="127"/>
        <v>1626.3500000000001</v>
      </c>
      <c r="D412" s="74">
        <f t="shared" si="127"/>
        <v>5692.17</v>
      </c>
      <c r="E412" s="74">
        <f t="shared" si="127"/>
        <v>6873.63</v>
      </c>
      <c r="F412" s="74">
        <f t="shared" si="127"/>
        <v>6808.83</v>
      </c>
      <c r="G412" s="74">
        <f t="shared" si="127"/>
        <v>792.15000000000009</v>
      </c>
      <c r="H412" s="74">
        <f t="shared" si="127"/>
        <v>3272.7</v>
      </c>
      <c r="I412" s="91">
        <f t="shared" si="121"/>
        <v>0.47612396943099933</v>
      </c>
      <c r="J412" s="74">
        <f t="shared" si="127"/>
        <v>6796.33</v>
      </c>
      <c r="K412" s="74">
        <f t="shared" si="127"/>
        <v>64.800000000000381</v>
      </c>
      <c r="L412" s="74">
        <f t="shared" si="127"/>
        <v>12.5</v>
      </c>
    </row>
    <row r="413" spans="1:12" ht="23.25" customHeight="1">
      <c r="A413" s="40" t="s">
        <v>11</v>
      </c>
      <c r="B413" s="74">
        <f t="shared" si="127"/>
        <v>5234.7899999999991</v>
      </c>
      <c r="C413" s="74">
        <f t="shared" si="127"/>
        <v>3700.2000000000003</v>
      </c>
      <c r="D413" s="74">
        <f t="shared" si="127"/>
        <v>5442.2100000000009</v>
      </c>
      <c r="E413" s="74">
        <f t="shared" si="127"/>
        <v>7185.6699999999992</v>
      </c>
      <c r="F413" s="74">
        <f t="shared" si="127"/>
        <v>7051.37</v>
      </c>
      <c r="G413" s="74">
        <f t="shared" si="127"/>
        <v>2111.7400000000002</v>
      </c>
      <c r="H413" s="74">
        <f t="shared" si="127"/>
        <v>3132.2</v>
      </c>
      <c r="I413" s="91">
        <f t="shared" si="121"/>
        <v>0.43589533056764368</v>
      </c>
      <c r="J413" s="74">
        <f t="shared" si="127"/>
        <v>6292.1699999999992</v>
      </c>
      <c r="K413" s="74">
        <f t="shared" si="127"/>
        <v>134.30000000000035</v>
      </c>
      <c r="L413" s="74">
        <f t="shared" si="127"/>
        <v>759.19999999999982</v>
      </c>
    </row>
    <row r="414" spans="1:12" ht="23.25" customHeight="1">
      <c r="A414" s="40" t="s">
        <v>12</v>
      </c>
      <c r="B414" s="74">
        <f>B409+B404+B399+B394+B389+B384+B379</f>
        <v>390.07000000000005</v>
      </c>
      <c r="C414" s="74">
        <f t="shared" ref="C414:L414" si="128">C409+C404+C399+C394+C389+C384+C379</f>
        <v>397.13000000000005</v>
      </c>
      <c r="D414" s="74">
        <f t="shared" si="128"/>
        <v>410.15</v>
      </c>
      <c r="E414" s="74">
        <f t="shared" si="128"/>
        <v>506.2</v>
      </c>
      <c r="F414" s="74">
        <f t="shared" si="128"/>
        <v>504.90000000000003</v>
      </c>
      <c r="G414" s="74">
        <f t="shared" si="128"/>
        <v>146.23999999999998</v>
      </c>
      <c r="H414" s="74">
        <f t="shared" si="128"/>
        <v>243.9</v>
      </c>
      <c r="I414" s="91">
        <f t="shared" si="121"/>
        <v>0.48182536546819443</v>
      </c>
      <c r="J414" s="74">
        <f t="shared" si="128"/>
        <v>498.00000000000006</v>
      </c>
      <c r="K414" s="74">
        <f t="shared" si="128"/>
        <v>1.3000000000000114</v>
      </c>
      <c r="L414" s="74">
        <f t="shared" si="128"/>
        <v>6.8999999999999773</v>
      </c>
    </row>
    <row r="415" spans="1:12">
      <c r="A415" s="21"/>
      <c r="B415" s="21"/>
      <c r="C415" s="57"/>
      <c r="D415" s="21"/>
      <c r="E415" s="21"/>
      <c r="F415" s="21"/>
      <c r="G415" s="22"/>
      <c r="H415" s="21"/>
      <c r="I415" s="89"/>
      <c r="J415" s="21"/>
      <c r="K415" s="21"/>
      <c r="L415" s="21"/>
    </row>
    <row r="416" spans="1:12" ht="32.25" customHeight="1">
      <c r="A416" s="96" t="s">
        <v>122</v>
      </c>
      <c r="B416" s="97">
        <f t="shared" ref="B416:L418" si="129">B411+B370+B352+B346+B285</f>
        <v>187423.85699999999</v>
      </c>
      <c r="C416" s="97"/>
      <c r="D416" s="97">
        <f t="shared" si="129"/>
        <v>155890.022</v>
      </c>
      <c r="E416" s="97">
        <f t="shared" si="129"/>
        <v>191612.003</v>
      </c>
      <c r="F416" s="97">
        <f t="shared" si="129"/>
        <v>196274.783</v>
      </c>
      <c r="G416" s="97"/>
      <c r="H416" s="97">
        <f t="shared" si="129"/>
        <v>89345.642999999996</v>
      </c>
      <c r="I416" s="98">
        <f t="shared" si="121"/>
        <v>0.46628416592461591</v>
      </c>
      <c r="J416" s="97">
        <f t="shared" si="129"/>
        <v>187043.033</v>
      </c>
      <c r="K416" s="97">
        <f t="shared" si="129"/>
        <v>-4662.78</v>
      </c>
      <c r="L416" s="97">
        <f t="shared" si="129"/>
        <v>9231.7499999999982</v>
      </c>
    </row>
    <row r="417" spans="1:12" ht="32.25" customHeight="1">
      <c r="A417" s="99" t="s">
        <v>10</v>
      </c>
      <c r="B417" s="97">
        <f t="shared" si="129"/>
        <v>45564.517</v>
      </c>
      <c r="C417" s="97">
        <f t="shared" si="129"/>
        <v>7689.8340000000007</v>
      </c>
      <c r="D417" s="97">
        <f t="shared" si="129"/>
        <v>43879.804000000004</v>
      </c>
      <c r="E417" s="97">
        <f t="shared" si="129"/>
        <v>50841.039999999994</v>
      </c>
      <c r="F417" s="97">
        <f t="shared" si="129"/>
        <v>51893.14</v>
      </c>
      <c r="G417" s="97">
        <f t="shared" si="129"/>
        <v>135430.39099999997</v>
      </c>
      <c r="H417" s="97">
        <f t="shared" si="129"/>
        <v>22653.75</v>
      </c>
      <c r="I417" s="98">
        <f t="shared" si="121"/>
        <v>0.44557998813556926</v>
      </c>
      <c r="J417" s="97">
        <f t="shared" si="129"/>
        <v>51800.349999999991</v>
      </c>
      <c r="K417" s="97">
        <f t="shared" si="129"/>
        <v>-1052.0999999999997</v>
      </c>
      <c r="L417" s="97">
        <f t="shared" si="129"/>
        <v>92.789999999999296</v>
      </c>
    </row>
    <row r="418" spans="1:12" ht="31.5" customHeight="1">
      <c r="A418" s="99" t="s">
        <v>11</v>
      </c>
      <c r="B418" s="97">
        <f t="shared" si="129"/>
        <v>124456.56000000001</v>
      </c>
      <c r="C418" s="97">
        <f t="shared" si="129"/>
        <v>61865.48</v>
      </c>
      <c r="D418" s="97">
        <f t="shared" si="129"/>
        <v>97863.087999999989</v>
      </c>
      <c r="E418" s="97">
        <f t="shared" si="129"/>
        <v>124763.46300000002</v>
      </c>
      <c r="F418" s="97">
        <f t="shared" si="129"/>
        <v>128444.74300000002</v>
      </c>
      <c r="G418" s="97">
        <f t="shared" si="129"/>
        <v>39918.294000000002</v>
      </c>
      <c r="H418" s="97">
        <f t="shared" si="129"/>
        <v>59233.440000000002</v>
      </c>
      <c r="I418" s="98">
        <f t="shared" si="121"/>
        <v>0.47476591764689952</v>
      </c>
      <c r="J418" s="97">
        <f t="shared" si="129"/>
        <v>119287.46300000003</v>
      </c>
      <c r="K418" s="97">
        <f t="shared" si="129"/>
        <v>-3681.2800000000007</v>
      </c>
      <c r="L418" s="97">
        <f t="shared" si="129"/>
        <v>9157.2800000000007</v>
      </c>
    </row>
    <row r="419" spans="1:12" ht="31.5" customHeight="1">
      <c r="A419" s="99" t="s">
        <v>12</v>
      </c>
      <c r="B419" s="97">
        <f>B414+B373+B355+B349+B288</f>
        <v>17402.780000000002</v>
      </c>
      <c r="C419" s="97">
        <f t="shared" ref="C419:L419" si="130">C414+C373+C355+C349+C288</f>
        <v>700.84699999999998</v>
      </c>
      <c r="D419" s="97">
        <f t="shared" si="130"/>
        <v>14147.130000000001</v>
      </c>
      <c r="E419" s="97">
        <f t="shared" si="130"/>
        <v>16007.5</v>
      </c>
      <c r="F419" s="97">
        <f t="shared" si="130"/>
        <v>15936.9</v>
      </c>
      <c r="G419" s="97">
        <f t="shared" si="130"/>
        <v>2003.971</v>
      </c>
      <c r="H419" s="97">
        <f t="shared" si="130"/>
        <v>7458.4530000000013</v>
      </c>
      <c r="I419" s="98">
        <f t="shared" si="121"/>
        <v>0.46593490551304084</v>
      </c>
      <c r="J419" s="97">
        <f t="shared" si="130"/>
        <v>15955.220000000003</v>
      </c>
      <c r="K419" s="97">
        <f t="shared" si="130"/>
        <v>70.600000000000051</v>
      </c>
      <c r="L419" s="97">
        <f t="shared" si="130"/>
        <v>-18.320000000000039</v>
      </c>
    </row>
    <row r="420" spans="1:12">
      <c r="C420" s="2"/>
    </row>
    <row r="421" spans="1:12">
      <c r="C421" s="2"/>
    </row>
    <row r="422" spans="1:12">
      <c r="C422" s="2"/>
    </row>
    <row r="423" spans="1:12">
      <c r="C423" s="2"/>
    </row>
    <row r="424" spans="1:12">
      <c r="C424" s="2"/>
    </row>
    <row r="425" spans="1:12">
      <c r="C425" s="2"/>
    </row>
    <row r="426" spans="1:12">
      <c r="C426" s="2"/>
    </row>
    <row r="427" spans="1:12">
      <c r="C427" s="2"/>
    </row>
    <row r="428" spans="1:12">
      <c r="C428" s="2"/>
    </row>
    <row r="429" spans="1:12">
      <c r="C429" s="2"/>
    </row>
    <row r="430" spans="1:12">
      <c r="C430" s="2"/>
    </row>
    <row r="431" spans="1:12">
      <c r="C431" s="2"/>
    </row>
    <row r="432" spans="1:12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</sheetData>
  <mergeCells count="4">
    <mergeCell ref="A2:A3"/>
    <mergeCell ref="B2:D2"/>
    <mergeCell ref="E2:J2"/>
    <mergeCell ref="H3:I3"/>
  </mergeCells>
  <phoneticPr fontId="0" type="noConversion"/>
  <pageMargins left="0.15748031496062992" right="0.19685039370078741" top="0.17" bottom="0.16" header="0.51181102362204722" footer="0.24"/>
  <pageSetup paperSize="9" scale="78" orientation="landscape" r:id="rId1"/>
  <headerFooter alignWithMargins="0"/>
  <rowBreaks count="4" manualBreakCount="4">
    <brk id="289" max="16383" man="1"/>
    <brk id="355" max="10" man="1"/>
    <brk id="374" max="16383" man="1"/>
    <brk id="4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89" sqref="A289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(2)</vt:lpstr>
      <vt:lpstr>Лист1</vt:lpstr>
      <vt:lpstr>'СВОД (2)'!Заголовки_для_печати</vt:lpstr>
      <vt:lpstr>'СВОД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2014-07-20T23:27:44Z</cp:lastPrinted>
  <dcterms:created xsi:type="dcterms:W3CDTF">1996-10-08T23:32:33Z</dcterms:created>
  <dcterms:modified xsi:type="dcterms:W3CDTF">2014-07-22T06:05:40Z</dcterms:modified>
</cp:coreProperties>
</file>